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ФСГС" sheetId="8" r:id="rId1"/>
  </sheets>
  <definedNames>
    <definedName name="_xlnm.Print_Titles" localSheetId="0">ФСГС!$14:$14</definedName>
    <definedName name="_xlnm.Print_Area" localSheetId="0">ФСГС!$A$1:$AB$575</definedName>
  </definedNames>
  <calcPr calcId="152511"/>
</workbook>
</file>

<file path=xl/calcChain.xml><?xml version="1.0" encoding="utf-8"?>
<calcChain xmlns="http://schemas.openxmlformats.org/spreadsheetml/2006/main">
  <c r="AA46" i="8" l="1"/>
  <c r="V136" i="8"/>
  <c r="U136" i="8"/>
  <c r="V43" i="8"/>
  <c r="U43" i="8"/>
  <c r="U520" i="8" l="1"/>
  <c r="V402" i="8" l="1"/>
  <c r="V207" i="8"/>
  <c r="V193" i="8"/>
  <c r="V128" i="8"/>
  <c r="V102" i="8"/>
  <c r="V98" i="8"/>
  <c r="V90" i="8"/>
  <c r="V94" i="8"/>
  <c r="V57" i="8"/>
  <c r="V64" i="8"/>
  <c r="V117" i="8"/>
  <c r="V133" i="8" l="1"/>
  <c r="AA138" i="8"/>
  <c r="W28" i="8" l="1"/>
  <c r="W27" i="8"/>
  <c r="Z25" i="8"/>
  <c r="Y25" i="8"/>
  <c r="X25" i="8"/>
  <c r="W25" i="8"/>
  <c r="Z24" i="8"/>
  <c r="Y24" i="8"/>
  <c r="X24" i="8"/>
  <c r="W24" i="8"/>
  <c r="V24" i="8"/>
  <c r="V140" i="8" l="1"/>
  <c r="U490" i="8" l="1"/>
  <c r="V490" i="8"/>
  <c r="U491" i="8"/>
  <c r="V491" i="8"/>
  <c r="X489" i="8"/>
  <c r="Y489" i="8"/>
  <c r="Z489" i="8"/>
  <c r="W489" i="8"/>
  <c r="W133" i="8"/>
  <c r="AA490" i="8" l="1"/>
  <c r="AA491" i="8"/>
  <c r="X64" i="8"/>
  <c r="Y64" i="8"/>
  <c r="Z64" i="8"/>
  <c r="V115" i="8" l="1"/>
  <c r="V109" i="8" l="1"/>
  <c r="V227" i="8"/>
  <c r="X475" i="8"/>
  <c r="X476" i="8"/>
  <c r="Y476" i="8"/>
  <c r="W476" i="8"/>
  <c r="W475" i="8"/>
  <c r="V157" i="8"/>
  <c r="V159" i="8"/>
  <c r="W218" i="8"/>
  <c r="X218" i="8"/>
  <c r="Y218" i="8"/>
  <c r="Z218" i="8"/>
  <c r="V218" i="8"/>
  <c r="U503" i="8"/>
  <c r="V503" i="8"/>
  <c r="W503" i="8"/>
  <c r="W500" i="8" s="1"/>
  <c r="X503" i="8"/>
  <c r="X500" i="8" s="1"/>
  <c r="Y503" i="8"/>
  <c r="Y500" i="8" s="1"/>
  <c r="Z503" i="8"/>
  <c r="Z500" i="8" s="1"/>
  <c r="T503" i="8"/>
  <c r="AA515" i="8"/>
  <c r="AA512" i="8"/>
  <c r="AA509" i="8"/>
  <c r="AA506" i="8"/>
  <c r="Z560" i="8"/>
  <c r="W560" i="8"/>
  <c r="X560" i="8"/>
  <c r="X558" i="8" s="1"/>
  <c r="Y560" i="8"/>
  <c r="V560" i="8"/>
  <c r="Z474" i="8"/>
  <c r="W474" i="8"/>
  <c r="AA496" i="8"/>
  <c r="AA495" i="8"/>
  <c r="V494" i="8"/>
  <c r="U494" i="8"/>
  <c r="T494" i="8"/>
  <c r="AA493" i="8"/>
  <c r="AA492" i="8"/>
  <c r="V489" i="8"/>
  <c r="U489" i="8"/>
  <c r="X486" i="8"/>
  <c r="Y486" i="8"/>
  <c r="X480" i="8"/>
  <c r="Y480" i="8"/>
  <c r="X483" i="8"/>
  <c r="Y483" i="8"/>
  <c r="X477" i="8"/>
  <c r="Y477" i="8"/>
  <c r="Y478" i="8"/>
  <c r="Y475" i="8" s="1"/>
  <c r="W220" i="8"/>
  <c r="X220" i="8"/>
  <c r="Y220" i="8"/>
  <c r="W221" i="8"/>
  <c r="X221" i="8"/>
  <c r="Y221" i="8"/>
  <c r="X471" i="8"/>
  <c r="Y206" i="8"/>
  <c r="Y204" i="8" s="1"/>
  <c r="Z206" i="8"/>
  <c r="Z204" i="8" s="1"/>
  <c r="Y199" i="8"/>
  <c r="Y197" i="8" s="1"/>
  <c r="Z199" i="8"/>
  <c r="Z197" i="8" s="1"/>
  <c r="Y192" i="8"/>
  <c r="Y190" i="8" s="1"/>
  <c r="Z192" i="8"/>
  <c r="Z190" i="8" s="1"/>
  <c r="Y185" i="8"/>
  <c r="Z185" i="8"/>
  <c r="Y474" i="8" l="1"/>
  <c r="X474" i="8"/>
  <c r="AA503" i="8"/>
  <c r="AA489" i="8"/>
  <c r="AA494" i="8"/>
  <c r="U145" i="8"/>
  <c r="AA145" i="8" s="1"/>
  <c r="U147" i="8"/>
  <c r="U149" i="8"/>
  <c r="AA149" i="8" s="1"/>
  <c r="U151" i="8"/>
  <c r="AA151" i="8" s="1"/>
  <c r="U143" i="8"/>
  <c r="AA152" i="8"/>
  <c r="AA150" i="8"/>
  <c r="AA148" i="8"/>
  <c r="AA146" i="8"/>
  <c r="Z144" i="8"/>
  <c r="Y144" i="8"/>
  <c r="X144" i="8"/>
  <c r="W144" i="8"/>
  <c r="Z143" i="8"/>
  <c r="Y143" i="8"/>
  <c r="X143" i="8"/>
  <c r="W143" i="8"/>
  <c r="W64" i="8"/>
  <c r="AA144" i="8" l="1"/>
  <c r="AA143" i="8"/>
  <c r="AA147" i="8"/>
  <c r="AA561" i="8"/>
  <c r="AA562" i="8"/>
  <c r="V401" i="8" l="1"/>
  <c r="V271" i="8"/>
  <c r="V272" i="8"/>
  <c r="V226" i="8"/>
  <c r="V546" i="8"/>
  <c r="V548" i="8"/>
  <c r="V507" i="8"/>
  <c r="V513" i="8"/>
  <c r="V510" i="8"/>
  <c r="V111" i="8"/>
  <c r="V74" i="8"/>
  <c r="V75" i="8"/>
  <c r="V80" i="8"/>
  <c r="V79" i="8"/>
  <c r="V68" i="8"/>
  <c r="V59" i="8"/>
  <c r="V61" i="8"/>
  <c r="V200" i="8"/>
  <c r="V186" i="8"/>
  <c r="V501" i="8" l="1"/>
  <c r="V104" i="8"/>
  <c r="V221" i="8" l="1"/>
  <c r="V220" i="8"/>
  <c r="V397" i="8"/>
  <c r="V222" i="8"/>
  <c r="V266" i="8"/>
  <c r="V471" i="8" l="1"/>
  <c r="V219" i="8" s="1"/>
  <c r="V120" i="8" l="1"/>
  <c r="X206" i="8" l="1"/>
  <c r="W206" i="8"/>
  <c r="X199" i="8"/>
  <c r="W199" i="8"/>
  <c r="X192" i="8"/>
  <c r="W192" i="8"/>
  <c r="X185" i="8"/>
  <c r="W185" i="8"/>
  <c r="V25" i="8" l="1"/>
  <c r="W522" i="8"/>
  <c r="X522" i="8"/>
  <c r="V478" i="8"/>
  <c r="V486" i="8"/>
  <c r="V483" i="8"/>
  <c r="V480" i="8"/>
  <c r="V477" i="8"/>
  <c r="V182" i="8" l="1"/>
  <c r="V194" i="8" l="1"/>
  <c r="V195" i="8"/>
  <c r="V187" i="8"/>
  <c r="V188" i="8"/>
  <c r="V201" i="8"/>
  <c r="V202" i="8"/>
  <c r="V208" i="8"/>
  <c r="V209" i="8"/>
  <c r="AA103" i="8"/>
  <c r="W70" i="8"/>
  <c r="X70" i="8"/>
  <c r="Y70" i="8"/>
  <c r="Z70" i="8"/>
  <c r="T70" i="8"/>
  <c r="V206" i="8"/>
  <c r="V199" i="8"/>
  <c r="V192" i="8"/>
  <c r="V185" i="8"/>
  <c r="V534" i="8" l="1"/>
  <c r="V529" i="8"/>
  <c r="V526" i="8"/>
  <c r="V523" i="8"/>
  <c r="V522" i="8"/>
  <c r="V525" i="8"/>
  <c r="V528" i="8"/>
  <c r="V531" i="8"/>
  <c r="AA78" i="8"/>
  <c r="V77" i="8"/>
  <c r="W77" i="8"/>
  <c r="X77" i="8"/>
  <c r="Y77" i="8"/>
  <c r="Z77" i="8"/>
  <c r="AA79" i="8"/>
  <c r="U80" i="8"/>
  <c r="U77" i="8" s="1"/>
  <c r="T80" i="8"/>
  <c r="AA73" i="8"/>
  <c r="V70" i="8"/>
  <c r="AA80" i="8" l="1"/>
  <c r="V66" i="8"/>
  <c r="T77" i="8"/>
  <c r="AA77" i="8" s="1"/>
  <c r="AA74" i="8"/>
  <c r="U94" i="8"/>
  <c r="U401" i="8" l="1"/>
  <c r="U311" i="8"/>
  <c r="U271" i="8"/>
  <c r="U226" i="8"/>
  <c r="U137" i="8" l="1"/>
  <c r="U135" i="8"/>
  <c r="AA38" i="8"/>
  <c r="AA140" i="8"/>
  <c r="AA129" i="8"/>
  <c r="U218" i="8" l="1"/>
  <c r="U25" i="8" l="1"/>
  <c r="U159" i="8"/>
  <c r="U157" i="8"/>
  <c r="U111" i="8"/>
  <c r="U560" i="8"/>
  <c r="U128" i="8"/>
  <c r="U402" i="8"/>
  <c r="U397" i="8" s="1"/>
  <c r="U548" i="8"/>
  <c r="U513" i="8"/>
  <c r="U206" i="8"/>
  <c r="U207" i="8"/>
  <c r="U98" i="8"/>
  <c r="U64" i="8"/>
  <c r="U544" i="8"/>
  <c r="U507" i="8"/>
  <c r="U192" i="8"/>
  <c r="U191" i="8"/>
  <c r="U193" i="8"/>
  <c r="U90" i="8"/>
  <c r="U72" i="8"/>
  <c r="U70" i="8" s="1"/>
  <c r="U59" i="8"/>
  <c r="U313" i="8" l="1"/>
  <c r="U312" i="8"/>
  <c r="U546" i="8"/>
  <c r="U510" i="8"/>
  <c r="U199" i="8"/>
  <c r="U200" i="8"/>
  <c r="U113" i="8"/>
  <c r="U61" i="8"/>
  <c r="U227" i="8"/>
  <c r="U186" i="8"/>
  <c r="U185" i="8"/>
  <c r="U68" i="8"/>
  <c r="U57" i="8"/>
  <c r="U102" i="8" l="1"/>
  <c r="U104" i="8" l="1"/>
  <c r="U117" i="8"/>
  <c r="U471" i="8"/>
  <c r="U568" i="8"/>
  <c r="X133" i="8" l="1"/>
  <c r="Y133" i="8"/>
  <c r="Z133" i="8"/>
  <c r="AA563" i="8" l="1"/>
  <c r="W558" i="8" l="1"/>
  <c r="X524" i="8" l="1"/>
  <c r="X527" i="8"/>
  <c r="X530" i="8"/>
  <c r="X519" i="8"/>
  <c r="AA126" i="8"/>
  <c r="X27" i="8"/>
  <c r="Y27" i="8"/>
  <c r="Z27" i="8"/>
  <c r="U120" i="8" l="1"/>
  <c r="U133" i="8" l="1"/>
  <c r="AA71" i="8" l="1"/>
  <c r="AA72" i="8"/>
  <c r="AA75" i="8"/>
  <c r="V130" i="8" l="1"/>
  <c r="W130" i="8"/>
  <c r="X130" i="8"/>
  <c r="Y130" i="8"/>
  <c r="Z130" i="8"/>
  <c r="U130" i="8" l="1"/>
  <c r="U505" i="8"/>
  <c r="U110" i="8"/>
  <c r="U86" i="8" l="1"/>
  <c r="U504" i="8"/>
  <c r="U205" i="8"/>
  <c r="U198" i="8"/>
  <c r="U184" i="8"/>
  <c r="U109" i="8"/>
  <c r="AA557" i="8" l="1"/>
  <c r="AA556" i="8"/>
  <c r="U220" i="8" l="1"/>
  <c r="U476" i="8"/>
  <c r="U475" i="8"/>
  <c r="U486" i="8"/>
  <c r="U483" i="8"/>
  <c r="U480" i="8"/>
  <c r="U477" i="8"/>
  <c r="U141" i="8"/>
  <c r="AA136" i="8" l="1"/>
  <c r="U212" i="8" l="1"/>
  <c r="U213" i="8"/>
  <c r="U179" i="8"/>
  <c r="U204" i="8"/>
  <c r="AA205" i="8"/>
  <c r="V204" i="8"/>
  <c r="W204" i="8"/>
  <c r="X204" i="8"/>
  <c r="V197" i="8"/>
  <c r="W197" i="8"/>
  <c r="X197" i="8"/>
  <c r="U197" i="8"/>
  <c r="AA198" i="8"/>
  <c r="V190" i="8"/>
  <c r="W190" i="8"/>
  <c r="X190" i="8"/>
  <c r="U190" i="8"/>
  <c r="T191" i="8"/>
  <c r="AA191" i="8" s="1"/>
  <c r="V183" i="8"/>
  <c r="W183" i="8"/>
  <c r="X183" i="8"/>
  <c r="Y183" i="8"/>
  <c r="Z183" i="8"/>
  <c r="AA184" i="8"/>
  <c r="AA185" i="8"/>
  <c r="AA186" i="8"/>
  <c r="U24" i="8"/>
  <c r="AA134" i="8"/>
  <c r="AA135" i="8"/>
  <c r="U221" i="8"/>
  <c r="AA402" i="8"/>
  <c r="AA401" i="8"/>
  <c r="AA311" i="8"/>
  <c r="AA271" i="8"/>
  <c r="U306" i="8"/>
  <c r="AA313" i="8"/>
  <c r="AA312" i="8"/>
  <c r="U266" i="8"/>
  <c r="W266" i="8"/>
  <c r="X266" i="8"/>
  <c r="Y266" i="8"/>
  <c r="Z266" i="8"/>
  <c r="U183" i="8" l="1"/>
  <c r="AA272" i="8"/>
  <c r="AA226" i="8"/>
  <c r="AA227" i="8"/>
  <c r="AA224" i="8"/>
  <c r="U222" i="8"/>
  <c r="U219" i="8" s="1"/>
  <c r="W222" i="8"/>
  <c r="X222" i="8"/>
  <c r="Y222" i="8"/>
  <c r="Z222" i="8"/>
  <c r="U131" i="8" l="1"/>
  <c r="U115" i="8" l="1"/>
  <c r="U181" i="8" l="1"/>
  <c r="U154" i="8" s="1"/>
  <c r="V181" i="8" l="1"/>
  <c r="W181" i="8"/>
  <c r="W154" i="8" s="1"/>
  <c r="X181" i="8"/>
  <c r="X154" i="8" s="1"/>
  <c r="Y181" i="8"/>
  <c r="Y154" i="8" s="1"/>
  <c r="Z181" i="8"/>
  <c r="V179" i="8"/>
  <c r="W179" i="8"/>
  <c r="W155" i="8" s="1"/>
  <c r="X179" i="8"/>
  <c r="X155" i="8" s="1"/>
  <c r="Y179" i="8"/>
  <c r="Y155" i="8" s="1"/>
  <c r="Z179" i="8"/>
  <c r="AA25" i="8"/>
  <c r="AA24" i="8"/>
  <c r="X501" i="8"/>
  <c r="U182" i="8" l="1"/>
  <c r="AA182" i="8" s="1"/>
  <c r="AA203" i="8"/>
  <c r="AA202" i="8"/>
  <c r="AA201" i="8"/>
  <c r="AA196" i="8"/>
  <c r="AA189" i="8"/>
  <c r="AA209" i="8"/>
  <c r="AA210" i="8"/>
  <c r="AA208" i="8"/>
  <c r="AA538" i="8"/>
  <c r="AA560" i="8" l="1"/>
  <c r="AA523" i="8"/>
  <c r="AA132" i="8"/>
  <c r="AA119" i="8"/>
  <c r="AA101" i="8"/>
  <c r="AA99" i="8"/>
  <c r="AA97" i="8"/>
  <c r="AA95" i="8"/>
  <c r="AA93" i="8"/>
  <c r="AA91" i="8"/>
  <c r="AA89" i="8"/>
  <c r="AA87" i="8"/>
  <c r="AA112" i="8"/>
  <c r="AA116" i="8"/>
  <c r="AA114" i="8"/>
  <c r="AA139" i="8"/>
  <c r="AA48" i="8"/>
  <c r="Y30" i="8"/>
  <c r="Y26" i="8" s="1"/>
  <c r="Z30" i="8"/>
  <c r="Z26" i="8" s="1"/>
  <c r="Z108" i="8"/>
  <c r="Z107" i="8"/>
  <c r="Z85" i="8"/>
  <c r="Z36" i="8" s="1"/>
  <c r="Z84" i="8"/>
  <c r="Z83" i="8"/>
  <c r="Z82" i="8"/>
  <c r="Z67" i="8"/>
  <c r="Z35" i="8" s="1"/>
  <c r="Z66" i="8"/>
  <c r="Z56" i="8"/>
  <c r="Z34" i="8" s="1"/>
  <c r="Z55" i="8"/>
  <c r="Z49" i="8"/>
  <c r="Z39" i="8"/>
  <c r="Z33" i="8"/>
  <c r="Z31" i="8"/>
  <c r="Z28" i="8"/>
  <c r="AA127" i="8"/>
  <c r="AA124" i="8"/>
  <c r="AA125" i="8"/>
  <c r="AA123" i="8"/>
  <c r="Z131" i="8"/>
  <c r="AA193" i="8"/>
  <c r="AA207" i="8"/>
  <c r="AA200" i="8"/>
  <c r="AA486" i="8"/>
  <c r="AA480" i="8"/>
  <c r="AA477" i="8"/>
  <c r="AA517" i="8"/>
  <c r="AA516" i="8"/>
  <c r="AA514" i="8"/>
  <c r="AA511" i="8"/>
  <c r="AA508" i="8"/>
  <c r="AA505" i="8"/>
  <c r="Z502" i="8"/>
  <c r="Z498" i="8" s="1"/>
  <c r="Z501" i="8"/>
  <c r="AA488" i="8"/>
  <c r="AA487" i="8"/>
  <c r="AA485" i="8"/>
  <c r="AA484" i="8"/>
  <c r="AA483" i="8"/>
  <c r="AA482" i="8"/>
  <c r="AA481" i="8"/>
  <c r="AA479" i="8"/>
  <c r="AA478" i="8"/>
  <c r="AA473" i="8"/>
  <c r="AA472" i="8"/>
  <c r="Z476" i="8"/>
  <c r="Z155" i="8" s="1"/>
  <c r="Z475" i="8"/>
  <c r="Y161" i="8"/>
  <c r="Z162" i="8"/>
  <c r="Z163" i="8"/>
  <c r="AA173" i="8"/>
  <c r="AA175" i="8"/>
  <c r="AA195" i="8"/>
  <c r="AA194" i="8"/>
  <c r="AA188" i="8"/>
  <c r="AA187" i="8"/>
  <c r="Z178" i="8"/>
  <c r="Z177" i="8"/>
  <c r="AA212" i="8"/>
  <c r="AA216" i="8"/>
  <c r="AA215" i="8"/>
  <c r="Z211" i="8"/>
  <c r="AA539" i="8"/>
  <c r="AA536" i="8"/>
  <c r="AA537" i="8"/>
  <c r="AA534" i="8"/>
  <c r="AA529" i="8"/>
  <c r="AA526" i="8"/>
  <c r="AA532" i="8"/>
  <c r="Z531" i="8"/>
  <c r="Z530" i="8"/>
  <c r="Z528" i="8"/>
  <c r="Z527" i="8"/>
  <c r="Z525" i="8"/>
  <c r="Z524" i="8"/>
  <c r="Z522" i="8"/>
  <c r="Z521" i="8"/>
  <c r="Z520" i="8"/>
  <c r="Z499" i="8" s="1"/>
  <c r="U531" i="8"/>
  <c r="U528" i="8"/>
  <c r="U525" i="8"/>
  <c r="U522" i="8"/>
  <c r="Z161" i="8" l="1"/>
  <c r="Z154" i="8"/>
  <c r="Z29" i="8"/>
  <c r="U535" i="8"/>
  <c r="AA535" i="8" s="1"/>
  <c r="Z176" i="8"/>
  <c r="Z153" i="8" s="1"/>
  <c r="Z519" i="8"/>
  <c r="AA555" i="8"/>
  <c r="AA553" i="8"/>
  <c r="AA550" i="8"/>
  <c r="AA552" i="8"/>
  <c r="Z541" i="8"/>
  <c r="AA543" i="8"/>
  <c r="AA545" i="8"/>
  <c r="AA547" i="8"/>
  <c r="AA549" i="8"/>
  <c r="Z540" i="8"/>
  <c r="AA565" i="8"/>
  <c r="AA566" i="8"/>
  <c r="AA567" i="8"/>
  <c r="AA564" i="8"/>
  <c r="Z558" i="8"/>
  <c r="Z559" i="8"/>
  <c r="AA137" i="8"/>
  <c r="U519" i="8" l="1"/>
  <c r="Z497" i="8"/>
  <c r="AA133" i="8"/>
  <c r="AA206" i="8"/>
  <c r="AA199" i="8"/>
  <c r="AA192" i="8"/>
  <c r="Z15" i="8" l="1"/>
  <c r="X502" i="8"/>
  <c r="U501" i="8"/>
  <c r="W501" i="8"/>
  <c r="Y501" i="8"/>
  <c r="U502" i="8"/>
  <c r="V502" i="8"/>
  <c r="W502" i="8"/>
  <c r="Y502" i="8"/>
  <c r="T502" i="8"/>
  <c r="AA502" i="8" l="1"/>
  <c r="T64" i="8" l="1"/>
  <c r="AA64" i="8" s="1"/>
  <c r="U85" i="8" l="1"/>
  <c r="U36" i="8" s="1"/>
  <c r="AA142" i="8"/>
  <c r="AA141" i="8"/>
  <c r="U571" i="8" l="1"/>
  <c r="T104" i="8" l="1"/>
  <c r="AA104" i="8" s="1"/>
  <c r="T43" i="8"/>
  <c r="T156" i="8" l="1"/>
  <c r="T220" i="8" l="1"/>
  <c r="T159" i="8" l="1"/>
  <c r="X131" i="8" l="1"/>
  <c r="T24" i="8"/>
  <c r="T157" i="8" l="1"/>
  <c r="T25" i="8" l="1"/>
  <c r="T218" i="8" l="1"/>
  <c r="AA218" i="8" s="1"/>
  <c r="T102" i="8" l="1"/>
  <c r="AA102" i="8" s="1"/>
  <c r="T213" i="8"/>
  <c r="AA213" i="8" s="1"/>
  <c r="T214" i="8"/>
  <c r="AA214" i="8" s="1"/>
  <c r="T42" i="8"/>
  <c r="T120" i="8"/>
  <c r="AA120" i="8" s="1"/>
  <c r="T117" i="8"/>
  <c r="AA117" i="8" s="1"/>
  <c r="T548" i="8"/>
  <c r="AA548" i="8" s="1"/>
  <c r="T513" i="8"/>
  <c r="AA513" i="8" s="1"/>
  <c r="T170" i="8"/>
  <c r="T115" i="8"/>
  <c r="AA115" i="8" s="1"/>
  <c r="T98" i="8"/>
  <c r="AA98" i="8" s="1"/>
  <c r="T111" i="8"/>
  <c r="AA111" i="8" s="1"/>
  <c r="T94" i="8"/>
  <c r="AA94" i="8" s="1"/>
  <c r="T90" i="8"/>
  <c r="AA90" i="8" s="1"/>
  <c r="T59" i="8"/>
  <c r="AA59" i="8" s="1"/>
  <c r="T510" i="8"/>
  <c r="AA510" i="8" s="1"/>
  <c r="T61" i="8"/>
  <c r="AA61" i="8" s="1"/>
  <c r="T542" i="8"/>
  <c r="AA542" i="8" s="1"/>
  <c r="T504" i="8"/>
  <c r="AA504" i="8" s="1"/>
  <c r="T109" i="8"/>
  <c r="AA109" i="8" s="1"/>
  <c r="T86" i="8"/>
  <c r="AA86" i="8" s="1"/>
  <c r="T68" i="8"/>
  <c r="AA68" i="8" s="1"/>
  <c r="AA105" i="8" l="1"/>
  <c r="T221" i="8" l="1"/>
  <c r="AA221" i="8" s="1"/>
  <c r="AA572" i="8" l="1"/>
  <c r="U28" i="8" l="1"/>
  <c r="V28" i="8"/>
  <c r="X28" i="8"/>
  <c r="Y28" i="8"/>
  <c r="T28" i="8"/>
  <c r="U27" i="8"/>
  <c r="V27" i="8"/>
  <c r="T27" i="8"/>
  <c r="U163" i="8" l="1"/>
  <c r="V163" i="8"/>
  <c r="W163" i="8"/>
  <c r="X163" i="8"/>
  <c r="Y163" i="8"/>
  <c r="T163" i="8"/>
  <c r="AA163" i="8" s="1"/>
  <c r="U474" i="8"/>
  <c r="V474" i="8"/>
  <c r="T474" i="8"/>
  <c r="V476" i="8"/>
  <c r="T476" i="8"/>
  <c r="V475" i="8"/>
  <c r="V161" i="8" s="1"/>
  <c r="X161" i="8"/>
  <c r="T475" i="8"/>
  <c r="U31" i="8"/>
  <c r="V31" i="8"/>
  <c r="W31" i="8"/>
  <c r="X31" i="8"/>
  <c r="T31" i="8"/>
  <c r="U30" i="8"/>
  <c r="U26" i="8" s="1"/>
  <c r="V30" i="8"/>
  <c r="V26" i="8" s="1"/>
  <c r="W30" i="8"/>
  <c r="W26" i="8" s="1"/>
  <c r="X30" i="8"/>
  <c r="X26" i="8" s="1"/>
  <c r="T30" i="8"/>
  <c r="T26" i="8" s="1"/>
  <c r="AA45" i="8"/>
  <c r="AA44" i="8"/>
  <c r="AA26" i="8" l="1"/>
  <c r="AA30" i="8"/>
  <c r="AA474" i="8"/>
  <c r="AA475" i="8"/>
  <c r="AA476" i="8"/>
  <c r="AA161" i="8"/>
  <c r="Y85" i="8" l="1"/>
  <c r="Y36" i="8" s="1"/>
  <c r="T85" i="8"/>
  <c r="X85" i="8"/>
  <c r="X36" i="8" s="1"/>
  <c r="W85" i="8"/>
  <c r="W36" i="8" s="1"/>
  <c r="U558" i="8"/>
  <c r="V558" i="8"/>
  <c r="Y558" i="8"/>
  <c r="T558" i="8"/>
  <c r="AA558" i="8" l="1"/>
  <c r="T36" i="8"/>
  <c r="V85" i="8"/>
  <c r="V36" i="8" s="1"/>
  <c r="AA571" i="8"/>
  <c r="T204" i="8"/>
  <c r="T197" i="8"/>
  <c r="T190" i="8"/>
  <c r="T183" i="8"/>
  <c r="AA183" i="8" s="1"/>
  <c r="U82" i="8"/>
  <c r="AA36" i="8" l="1"/>
  <c r="AA204" i="8"/>
  <c r="AA85" i="8"/>
  <c r="AA190" i="8"/>
  <c r="AA197" i="8"/>
  <c r="AA171" i="8"/>
  <c r="AA169" i="8"/>
  <c r="AA167" i="8"/>
  <c r="AA165" i="8"/>
  <c r="T179" i="8"/>
  <c r="T110" i="8"/>
  <c r="T57" i="8"/>
  <c r="AA57" i="8" s="1"/>
  <c r="AA170" i="8"/>
  <c r="T544" i="8"/>
  <c r="AA544" i="8" s="1"/>
  <c r="T546" i="8"/>
  <c r="AA546" i="8" s="1"/>
  <c r="T507" i="8"/>
  <c r="AA507" i="8" s="1"/>
  <c r="T471" i="8"/>
  <c r="AA471" i="8" s="1"/>
  <c r="T113" i="8"/>
  <c r="AA113" i="8" s="1"/>
  <c r="AA70" i="8"/>
  <c r="AA42" i="8"/>
  <c r="T131" i="8"/>
  <c r="T166" i="8"/>
  <c r="AA166" i="8" s="1"/>
  <c r="AA568" i="8"/>
  <c r="Y559" i="8"/>
  <c r="X559" i="8"/>
  <c r="W559" i="8"/>
  <c r="V559" i="8"/>
  <c r="U559" i="8"/>
  <c r="T559" i="8"/>
  <c r="AA559" i="8"/>
  <c r="AA554" i="8"/>
  <c r="Y541" i="8"/>
  <c r="X541" i="8"/>
  <c r="W541" i="8"/>
  <c r="V541" i="8"/>
  <c r="V500" i="8" s="1"/>
  <c r="U541" i="8"/>
  <c r="U500" i="8" s="1"/>
  <c r="Y540" i="8"/>
  <c r="X540" i="8"/>
  <c r="W540" i="8"/>
  <c r="V540" i="8"/>
  <c r="U540" i="8"/>
  <c r="U497" i="8" s="1"/>
  <c r="AA533" i="8"/>
  <c r="T531" i="8"/>
  <c r="Y530" i="8"/>
  <c r="W530" i="8"/>
  <c r="V530" i="8"/>
  <c r="U530" i="8"/>
  <c r="T530" i="8"/>
  <c r="T528" i="8"/>
  <c r="Y527" i="8"/>
  <c r="W527" i="8"/>
  <c r="V527" i="8"/>
  <c r="U527" i="8"/>
  <c r="T527" i="8"/>
  <c r="T525" i="8"/>
  <c r="Y524" i="8"/>
  <c r="W524" i="8"/>
  <c r="V524" i="8"/>
  <c r="U524" i="8"/>
  <c r="T524" i="8"/>
  <c r="T522" i="8"/>
  <c r="Y521" i="8"/>
  <c r="X521" i="8"/>
  <c r="W521" i="8"/>
  <c r="V521" i="8"/>
  <c r="U521" i="8"/>
  <c r="T521" i="8"/>
  <c r="Y520" i="8"/>
  <c r="Y499" i="8" s="1"/>
  <c r="X520" i="8"/>
  <c r="X499" i="8" s="1"/>
  <c r="W520" i="8"/>
  <c r="W499" i="8" s="1"/>
  <c r="V520" i="8"/>
  <c r="V499" i="8" s="1"/>
  <c r="U499" i="8"/>
  <c r="T520" i="8"/>
  <c r="Y498" i="8"/>
  <c r="X498" i="8"/>
  <c r="W498" i="8"/>
  <c r="V498" i="8"/>
  <c r="U498" i="8"/>
  <c r="AA470" i="8"/>
  <c r="AA469" i="8"/>
  <c r="AA468" i="8"/>
  <c r="AA467" i="8"/>
  <c r="AA466" i="8"/>
  <c r="T465" i="8"/>
  <c r="AA465" i="8" s="1"/>
  <c r="AA464" i="8"/>
  <c r="AA463" i="8"/>
  <c r="AA462" i="8"/>
  <c r="AA461" i="8"/>
  <c r="AA460" i="8"/>
  <c r="T459" i="8"/>
  <c r="AA459" i="8" s="1"/>
  <c r="AA458" i="8"/>
  <c r="AA457" i="8"/>
  <c r="AA456" i="8"/>
  <c r="AA455" i="8"/>
  <c r="AA454" i="8"/>
  <c r="T453" i="8"/>
  <c r="AA453" i="8" s="1"/>
  <c r="AA452" i="8"/>
  <c r="AA451" i="8"/>
  <c r="AA450" i="8"/>
  <c r="AA449" i="8"/>
  <c r="AA448" i="8"/>
  <c r="T447" i="8"/>
  <c r="AA447" i="8" s="1"/>
  <c r="AA446" i="8"/>
  <c r="AA445" i="8"/>
  <c r="AA444" i="8"/>
  <c r="AA443" i="8"/>
  <c r="AA442" i="8"/>
  <c r="T441" i="8"/>
  <c r="AA441" i="8" s="1"/>
  <c r="AA440" i="8"/>
  <c r="AA439" i="8"/>
  <c r="AA438" i="8"/>
  <c r="AA437" i="8"/>
  <c r="T436" i="8"/>
  <c r="AA436" i="8" s="1"/>
  <c r="AA435" i="8"/>
  <c r="AA434" i="8"/>
  <c r="AA433" i="8"/>
  <c r="AA432" i="8"/>
  <c r="AA431" i="8"/>
  <c r="T430" i="8"/>
  <c r="AA430" i="8" s="1"/>
  <c r="AA429" i="8"/>
  <c r="AA428" i="8"/>
  <c r="AA427" i="8"/>
  <c r="AA426" i="8"/>
  <c r="AA425" i="8"/>
  <c r="T424" i="8"/>
  <c r="AA424" i="8" s="1"/>
  <c r="AA423" i="8"/>
  <c r="AA422" i="8"/>
  <c r="AA421" i="8"/>
  <c r="AA420" i="8"/>
  <c r="AA419" i="8"/>
  <c r="T418" i="8"/>
  <c r="AA418" i="8" s="1"/>
  <c r="AA417" i="8"/>
  <c r="AA416" i="8"/>
  <c r="AA415" i="8"/>
  <c r="AA414" i="8"/>
  <c r="AA413" i="8"/>
  <c r="T412" i="8"/>
  <c r="AA412" i="8" s="1"/>
  <c r="AA411" i="8"/>
  <c r="AA410" i="8"/>
  <c r="AA409" i="8"/>
  <c r="AA408" i="8"/>
  <c r="AA407" i="8"/>
  <c r="T406" i="8"/>
  <c r="AA406" i="8" s="1"/>
  <c r="AA405" i="8"/>
  <c r="AA404" i="8"/>
  <c r="AA403" i="8"/>
  <c r="AA400" i="8"/>
  <c r="T399" i="8"/>
  <c r="AA399" i="8" s="1"/>
  <c r="T398" i="8"/>
  <c r="AA398" i="8" s="1"/>
  <c r="AA396" i="8"/>
  <c r="AA395" i="8"/>
  <c r="AA394" i="8"/>
  <c r="AA393" i="8"/>
  <c r="AA392" i="8"/>
  <c r="AA391" i="8"/>
  <c r="T390" i="8"/>
  <c r="AA390" i="8" s="1"/>
  <c r="AA389" i="8"/>
  <c r="AA388" i="8"/>
  <c r="AA387" i="8"/>
  <c r="AA386" i="8"/>
  <c r="AA385" i="8"/>
  <c r="T384" i="8"/>
  <c r="AA384" i="8" s="1"/>
  <c r="AA383" i="8"/>
  <c r="AA382" i="8"/>
  <c r="AA381" i="8"/>
  <c r="AA380" i="8"/>
  <c r="AA379" i="8"/>
  <c r="T378" i="8"/>
  <c r="AA378" i="8" s="1"/>
  <c r="AA377" i="8"/>
  <c r="AA376" i="8"/>
  <c r="AA375" i="8"/>
  <c r="AA374" i="8"/>
  <c r="AA373" i="8"/>
  <c r="AA372" i="8"/>
  <c r="T371" i="8"/>
  <c r="AA371" i="8" s="1"/>
  <c r="AA370" i="8"/>
  <c r="AA369" i="8"/>
  <c r="AA368" i="8"/>
  <c r="AA367" i="8"/>
  <c r="AA366" i="8"/>
  <c r="AA365" i="8"/>
  <c r="T364" i="8"/>
  <c r="AA364" i="8" s="1"/>
  <c r="AA363" i="8"/>
  <c r="AA362" i="8"/>
  <c r="AA361" i="8"/>
  <c r="AA360" i="8"/>
  <c r="AA359" i="8"/>
  <c r="AA358" i="8"/>
  <c r="T357" i="8"/>
  <c r="AA357" i="8" s="1"/>
  <c r="AA356" i="8"/>
  <c r="AA355" i="8"/>
  <c r="AA354" i="8"/>
  <c r="AA353" i="8"/>
  <c r="AA352" i="8"/>
  <c r="AA351" i="8"/>
  <c r="T350" i="8"/>
  <c r="AA350" i="8" s="1"/>
  <c r="AA349" i="8"/>
  <c r="AA348" i="8"/>
  <c r="AA347" i="8"/>
  <c r="AA346" i="8"/>
  <c r="AA345" i="8"/>
  <c r="AA344" i="8"/>
  <c r="T343" i="8"/>
  <c r="AA343" i="8" s="1"/>
  <c r="AA342" i="8"/>
  <c r="AA341" i="8"/>
  <c r="AA340" i="8"/>
  <c r="AA339" i="8"/>
  <c r="AA338" i="8"/>
  <c r="AA337" i="8"/>
  <c r="T336" i="8"/>
  <c r="AA336" i="8" s="1"/>
  <c r="AA335" i="8"/>
  <c r="AA334" i="8"/>
  <c r="AA333" i="8"/>
  <c r="AA332" i="8"/>
  <c r="AA331" i="8"/>
  <c r="AA330" i="8"/>
  <c r="T329" i="8"/>
  <c r="AA329" i="8" s="1"/>
  <c r="AA328" i="8"/>
  <c r="AA327" i="8"/>
  <c r="AA326" i="8"/>
  <c r="AA325" i="8"/>
  <c r="AA324" i="8"/>
  <c r="AA323" i="8"/>
  <c r="T322" i="8"/>
  <c r="AA322" i="8" s="1"/>
  <c r="AA321" i="8"/>
  <c r="AA320" i="8"/>
  <c r="AA319" i="8"/>
  <c r="AA318" i="8"/>
  <c r="AA317" i="8"/>
  <c r="T316" i="8"/>
  <c r="AA316" i="8" s="1"/>
  <c r="AA315" i="8"/>
  <c r="AA314" i="8"/>
  <c r="AA310" i="8"/>
  <c r="T309" i="8"/>
  <c r="AA309" i="8" s="1"/>
  <c r="AA308" i="8"/>
  <c r="T307" i="8"/>
  <c r="AA305" i="8"/>
  <c r="AA304" i="8"/>
  <c r="AA303" i="8"/>
  <c r="AA302" i="8"/>
  <c r="T301" i="8"/>
  <c r="AA301" i="8" s="1"/>
  <c r="AA300" i="8"/>
  <c r="AA299" i="8"/>
  <c r="AA298" i="8"/>
  <c r="AA297" i="8"/>
  <c r="T296" i="8"/>
  <c r="AA296" i="8" s="1"/>
  <c r="AA295" i="8"/>
  <c r="AA294" i="8"/>
  <c r="AA293" i="8"/>
  <c r="AA292" i="8"/>
  <c r="T291" i="8"/>
  <c r="AA290" i="8"/>
  <c r="AA289" i="8"/>
  <c r="AA288" i="8"/>
  <c r="AA287" i="8"/>
  <c r="T286" i="8"/>
  <c r="AA286" i="8" s="1"/>
  <c r="AA285" i="8"/>
  <c r="AA284" i="8"/>
  <c r="AA283" i="8"/>
  <c r="AA282" i="8"/>
  <c r="T281" i="8"/>
  <c r="AA281" i="8" s="1"/>
  <c r="AA280" i="8"/>
  <c r="AA279" i="8"/>
  <c r="AA278" i="8"/>
  <c r="AA277" i="8"/>
  <c r="AA276" i="8"/>
  <c r="T275" i="8"/>
  <c r="AA275" i="8" s="1"/>
  <c r="AA274" i="8"/>
  <c r="AA273" i="8"/>
  <c r="AA270" i="8"/>
  <c r="T269" i="8"/>
  <c r="AA269" i="8" s="1"/>
  <c r="AA268" i="8"/>
  <c r="T267" i="8"/>
  <c r="AA265" i="8"/>
  <c r="AA264" i="8"/>
  <c r="AA263" i="8"/>
  <c r="AA262" i="8"/>
  <c r="AA261" i="8"/>
  <c r="T260" i="8"/>
  <c r="AA260" i="8" s="1"/>
  <c r="AA259" i="8"/>
  <c r="AA258" i="8"/>
  <c r="AA257" i="8"/>
  <c r="AA256" i="8"/>
  <c r="AA255" i="8"/>
  <c r="AA254" i="8"/>
  <c r="T253" i="8"/>
  <c r="AA253" i="8" s="1"/>
  <c r="AA252" i="8"/>
  <c r="AA251" i="8"/>
  <c r="AA250" i="8"/>
  <c r="AA249" i="8"/>
  <c r="AA248" i="8"/>
  <c r="T247" i="8"/>
  <c r="AA247" i="8" s="1"/>
  <c r="AA246" i="8"/>
  <c r="AA245" i="8"/>
  <c r="AA244" i="8"/>
  <c r="AA243" i="8"/>
  <c r="AA242" i="8"/>
  <c r="T241" i="8"/>
  <c r="AA241" i="8" s="1"/>
  <c r="AA240" i="8"/>
  <c r="AA239" i="8"/>
  <c r="AA238" i="8"/>
  <c r="AA237" i="8"/>
  <c r="T236" i="8"/>
  <c r="AA236" i="8" s="1"/>
  <c r="AA235" i="8"/>
  <c r="AD234" i="8"/>
  <c r="AA234" i="8"/>
  <c r="AD233" i="8"/>
  <c r="AA233" i="8"/>
  <c r="AD232" i="8"/>
  <c r="AA232" i="8"/>
  <c r="AD231" i="8"/>
  <c r="T231" i="8"/>
  <c r="AA231" i="8" s="1"/>
  <c r="AA230" i="8"/>
  <c r="AA229" i="8"/>
  <c r="AA228" i="8"/>
  <c r="T225" i="8"/>
  <c r="AA225" i="8" s="1"/>
  <c r="T223" i="8"/>
  <c r="Y211" i="8"/>
  <c r="Y176" i="8" s="1"/>
  <c r="X211" i="8"/>
  <c r="X176" i="8" s="1"/>
  <c r="W211" i="8"/>
  <c r="W176" i="8" s="1"/>
  <c r="V211" i="8"/>
  <c r="V176" i="8" s="1"/>
  <c r="U211" i="8"/>
  <c r="V154" i="8"/>
  <c r="T181" i="8"/>
  <c r="T180" i="8"/>
  <c r="Y178" i="8"/>
  <c r="X178" i="8"/>
  <c r="W178" i="8"/>
  <c r="V178" i="8"/>
  <c r="U178" i="8"/>
  <c r="Y177" i="8"/>
  <c r="X177" i="8"/>
  <c r="W177" i="8"/>
  <c r="V177" i="8"/>
  <c r="U177" i="8"/>
  <c r="AA168" i="8"/>
  <c r="AA164" i="8"/>
  <c r="Y162" i="8"/>
  <c r="X162" i="8"/>
  <c r="W162" i="8"/>
  <c r="V162" i="8"/>
  <c r="U162" i="8"/>
  <c r="Y131" i="8"/>
  <c r="W131" i="8"/>
  <c r="V131" i="8"/>
  <c r="T128" i="8"/>
  <c r="AA128" i="8" s="1"/>
  <c r="Y108" i="8"/>
  <c r="X108" i="8"/>
  <c r="W108" i="8"/>
  <c r="V108" i="8"/>
  <c r="U108" i="8"/>
  <c r="Y107" i="8"/>
  <c r="X107" i="8"/>
  <c r="W107" i="8"/>
  <c r="V107" i="8"/>
  <c r="U107" i="8"/>
  <c r="Y84" i="8"/>
  <c r="X84" i="8"/>
  <c r="W84" i="8"/>
  <c r="V84" i="8"/>
  <c r="U84" i="8"/>
  <c r="T84" i="8"/>
  <c r="Y83" i="8"/>
  <c r="X83" i="8"/>
  <c r="W83" i="8"/>
  <c r="V83" i="8"/>
  <c r="U83" i="8"/>
  <c r="T83" i="8"/>
  <c r="Y82" i="8"/>
  <c r="X82" i="8"/>
  <c r="W82" i="8"/>
  <c r="V82" i="8"/>
  <c r="Y67" i="8"/>
  <c r="Y35" i="8" s="1"/>
  <c r="X67" i="8"/>
  <c r="X35" i="8" s="1"/>
  <c r="W67" i="8"/>
  <c r="W35" i="8" s="1"/>
  <c r="V67" i="8"/>
  <c r="V35" i="8" s="1"/>
  <c r="U67" i="8"/>
  <c r="U35" i="8" s="1"/>
  <c r="T67" i="8"/>
  <c r="T35" i="8" s="1"/>
  <c r="Y66" i="8"/>
  <c r="X66" i="8"/>
  <c r="W66" i="8"/>
  <c r="U66" i="8"/>
  <c r="AA63" i="8"/>
  <c r="Y56" i="8"/>
  <c r="Y34" i="8" s="1"/>
  <c r="X56" i="8"/>
  <c r="X34" i="8" s="1"/>
  <c r="W56" i="8"/>
  <c r="W34" i="8" s="1"/>
  <c r="V56" i="8"/>
  <c r="V34" i="8" s="1"/>
  <c r="U56" i="8"/>
  <c r="U34" i="8" s="1"/>
  <c r="T56" i="8"/>
  <c r="T34" i="8" s="1"/>
  <c r="Y55" i="8"/>
  <c r="X55" i="8"/>
  <c r="W55" i="8"/>
  <c r="V55" i="8"/>
  <c r="U55" i="8"/>
  <c r="AA52" i="8"/>
  <c r="AA51" i="8"/>
  <c r="AA50" i="8"/>
  <c r="Y49" i="8"/>
  <c r="X49" i="8"/>
  <c r="W49" i="8"/>
  <c r="V49" i="8"/>
  <c r="U49" i="8"/>
  <c r="AA41" i="8"/>
  <c r="AA40" i="8"/>
  <c r="Y39" i="8"/>
  <c r="X39" i="8"/>
  <c r="W39" i="8"/>
  <c r="V39" i="8"/>
  <c r="V29" i="8" s="1"/>
  <c r="U39" i="8"/>
  <c r="Y33" i="8"/>
  <c r="X33" i="8"/>
  <c r="W33" i="8"/>
  <c r="V33" i="8"/>
  <c r="U33" i="8"/>
  <c r="T33" i="8"/>
  <c r="Y31" i="8"/>
  <c r="AA31" i="8" s="1"/>
  <c r="AA27" i="8"/>
  <c r="T22" i="8"/>
  <c r="U22" i="8" s="1"/>
  <c r="V22" i="8" s="1"/>
  <c r="W22" i="8" s="1"/>
  <c r="X22" i="8" s="1"/>
  <c r="Y22" i="8" s="1"/>
  <c r="T21" i="8"/>
  <c r="U21" i="8" s="1"/>
  <c r="V21" i="8" s="1"/>
  <c r="T20" i="8"/>
  <c r="U20" i="8" s="1"/>
  <c r="V20" i="8" s="1"/>
  <c r="W20" i="8" s="1"/>
  <c r="X20" i="8" s="1"/>
  <c r="Y20" i="8" s="1"/>
  <c r="T19" i="8"/>
  <c r="U19" i="8" s="1"/>
  <c r="V19" i="8" s="1"/>
  <c r="W19" i="8" s="1"/>
  <c r="X19" i="8" s="1"/>
  <c r="Y19" i="8" s="1"/>
  <c r="T18" i="8"/>
  <c r="U18" i="8" s="1"/>
  <c r="V18" i="8" s="1"/>
  <c r="T17" i="8"/>
  <c r="U17" i="8" s="1"/>
  <c r="V17" i="8" s="1"/>
  <c r="W17" i="8" s="1"/>
  <c r="X17" i="8" s="1"/>
  <c r="Y17" i="8" s="1"/>
  <c r="T16" i="8"/>
  <c r="U16" i="8" s="1"/>
  <c r="W153" i="8" l="1"/>
  <c r="X153" i="8"/>
  <c r="Y29" i="8"/>
  <c r="Y153" i="8"/>
  <c r="W29" i="8"/>
  <c r="X29" i="8"/>
  <c r="U29" i="8"/>
  <c r="T222" i="8"/>
  <c r="AA222" i="8" s="1"/>
  <c r="T266" i="8"/>
  <c r="AA266" i="8" s="1"/>
  <c r="AA33" i="8"/>
  <c r="AA540" i="8"/>
  <c r="AA522" i="8"/>
  <c r="AA179" i="8"/>
  <c r="AA28" i="8"/>
  <c r="AA83" i="8"/>
  <c r="T154" i="8"/>
  <c r="AA154" i="8" s="1"/>
  <c r="AA181" i="8"/>
  <c r="AA525" i="8"/>
  <c r="AA131" i="8"/>
  <c r="AA528" i="8"/>
  <c r="U176" i="8"/>
  <c r="U153" i="8" s="1"/>
  <c r="AA531" i="8"/>
  <c r="AA220" i="8"/>
  <c r="T108" i="8"/>
  <c r="AA108" i="8" s="1"/>
  <c r="AA110" i="8"/>
  <c r="T501" i="8"/>
  <c r="AA501" i="8" s="1"/>
  <c r="T499" i="8"/>
  <c r="AA499" i="8" s="1"/>
  <c r="AA520" i="8"/>
  <c r="U155" i="8"/>
  <c r="AA267" i="8"/>
  <c r="AA307" i="8"/>
  <c r="T306" i="8"/>
  <c r="AA306" i="8" s="1"/>
  <c r="AA223" i="8"/>
  <c r="V155" i="8"/>
  <c r="T155" i="8"/>
  <c r="V153" i="8"/>
  <c r="T541" i="8"/>
  <c r="AA541" i="8" s="1"/>
  <c r="T518" i="8"/>
  <c r="X497" i="8"/>
  <c r="AA524" i="8"/>
  <c r="AA530" i="8"/>
  <c r="V518" i="8"/>
  <c r="Y518" i="8"/>
  <c r="AA521" i="8"/>
  <c r="AA527" i="8"/>
  <c r="X518" i="8"/>
  <c r="T540" i="8"/>
  <c r="W518" i="8"/>
  <c r="T66" i="8"/>
  <c r="AA66" i="8" s="1"/>
  <c r="T519" i="8"/>
  <c r="AA49" i="8"/>
  <c r="U518" i="8"/>
  <c r="T178" i="8"/>
  <c r="AA178" i="8" s="1"/>
  <c r="T107" i="8"/>
  <c r="AA107" i="8" s="1"/>
  <c r="AD235" i="8"/>
  <c r="AA291" i="8"/>
  <c r="T397" i="8"/>
  <c r="AA397" i="8" s="1"/>
  <c r="V519" i="8"/>
  <c r="V497" i="8" s="1"/>
  <c r="T162" i="8"/>
  <c r="AA162" i="8" s="1"/>
  <c r="T177" i="8"/>
  <c r="AA177" i="8" s="1"/>
  <c r="Y519" i="8"/>
  <c r="Y497" i="8" s="1"/>
  <c r="W519" i="8"/>
  <c r="W497" i="8" s="1"/>
  <c r="T82" i="8"/>
  <c r="AA82" i="8" s="1"/>
  <c r="T211" i="8"/>
  <c r="T55" i="8"/>
  <c r="AA55" i="8" s="1"/>
  <c r="AA43" i="8"/>
  <c r="T39" i="8"/>
  <c r="W18" i="8"/>
  <c r="X18" i="8" s="1"/>
  <c r="Y18" i="8" s="1"/>
  <c r="V16" i="8"/>
  <c r="W16" i="8" s="1"/>
  <c r="X16" i="8" s="1"/>
  <c r="Y16" i="8" s="1"/>
  <c r="W21" i="8"/>
  <c r="X21" i="8" s="1"/>
  <c r="Y21" i="8" s="1"/>
  <c r="AA17" i="8"/>
  <c r="AA20" i="8"/>
  <c r="AA19" i="8"/>
  <c r="AA22" i="8"/>
  <c r="X156" i="8" l="1"/>
  <c r="W156" i="8"/>
  <c r="V156" i="8"/>
  <c r="Z156" i="8"/>
  <c r="AA156" i="8" s="1"/>
  <c r="V15" i="8"/>
  <c r="U156" i="8"/>
  <c r="Y156" i="8"/>
  <c r="AA155" i="8"/>
  <c r="U15" i="8"/>
  <c r="X15" i="8"/>
  <c r="Y15" i="8"/>
  <c r="W15" i="8"/>
  <c r="AA519" i="8"/>
  <c r="T176" i="8"/>
  <c r="AA176" i="8" s="1"/>
  <c r="AA211" i="8"/>
  <c r="T29" i="8"/>
  <c r="T500" i="8"/>
  <c r="AA500" i="8" s="1"/>
  <c r="T219" i="8"/>
  <c r="AA219" i="8" s="1"/>
  <c r="AA518" i="8"/>
  <c r="T497" i="8"/>
  <c r="AA497" i="8" s="1"/>
  <c r="T498" i="8"/>
  <c r="AA498" i="8" s="1"/>
  <c r="AA39" i="8"/>
  <c r="AA18" i="8"/>
  <c r="AA21" i="8"/>
  <c r="AA16" i="8"/>
  <c r="AA29" i="8" l="1"/>
  <c r="T153" i="8"/>
  <c r="AA153" i="8" s="1"/>
  <c r="T15" i="8" l="1"/>
  <c r="AA15" i="8" s="1"/>
</calcChain>
</file>

<file path=xl/sharedStrings.xml><?xml version="1.0" encoding="utf-8"?>
<sst xmlns="http://schemas.openxmlformats.org/spreadsheetml/2006/main" count="5900" uniqueCount="366">
  <si>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</si>
  <si>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</si>
  <si>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</si>
  <si>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</si>
  <si>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</si>
  <si>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</si>
  <si>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</si>
  <si>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</si>
  <si>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</si>
  <si>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</si>
  <si>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</si>
  <si>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</si>
  <si>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</si>
  <si>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</si>
  <si>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</si>
  <si>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</si>
  <si>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</si>
  <si>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</si>
  <si>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</si>
  <si>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</si>
  <si>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</si>
  <si>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</si>
  <si>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</si>
  <si>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</si>
  <si>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</si>
  <si>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</si>
  <si>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</si>
  <si>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</si>
  <si>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</si>
  <si>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</si>
  <si>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</si>
  <si>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</si>
  <si>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</si>
  <si>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</si>
  <si>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</si>
  <si>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</si>
  <si>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</si>
  <si>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</si>
  <si>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</si>
  <si>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</si>
  <si>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</si>
  <si>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</si>
  <si>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</si>
  <si>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</si>
  <si>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</si>
  <si>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</si>
  <si>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</si>
  <si>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</si>
  <si>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</si>
  <si>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</si>
  <si>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</si>
  <si>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</si>
  <si>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</si>
  <si>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</si>
  <si>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</si>
  <si>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</si>
  <si>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</si>
  <si>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</si>
  <si>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</si>
  <si>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</si>
  <si>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</si>
  <si>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</si>
  <si>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</si>
  <si>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</si>
  <si>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</si>
  <si>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</si>
  <si>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</si>
  <si>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</si>
  <si>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</si>
  <si>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</si>
  <si>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</si>
  <si>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</si>
  <si>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</si>
  <si>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</si>
  <si>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</si>
  <si>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</si>
  <si>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</si>
  <si>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</si>
  <si>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</si>
  <si>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</si>
  <si>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</si>
  <si>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</si>
  <si>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</si>
  <si>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</si>
  <si>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</si>
  <si>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</si>
  <si>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</si>
  <si>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</si>
  <si>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</si>
  <si>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</si>
  <si>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</si>
  <si>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</si>
  <si>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</si>
  <si>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</si>
  <si>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</si>
  <si>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</si>
  <si>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</si>
  <si>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</si>
  <si>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</si>
  <si>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</si>
  <si>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</si>
  <si>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</si>
  <si>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</si>
  <si>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</si>
  <si>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</si>
  <si>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</si>
  <si>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</si>
  <si>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</si>
  <si>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</si>
  <si>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</si>
  <si>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</si>
  <si>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</si>
  <si>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</si>
  <si>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</si>
  <si>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</si>
  <si>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</si>
  <si>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</si>
  <si>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</si>
  <si>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</si>
  <si>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</si>
  <si>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</si>
  <si>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</si>
  <si>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</si>
  <si>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</si>
  <si>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</si>
  <si>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</si>
  <si>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</si>
  <si>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</si>
  <si>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</si>
  <si>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</si>
  <si>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</si>
  <si>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</si>
  <si>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</si>
  <si>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</si>
  <si>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</si>
  <si>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</si>
  <si>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</si>
  <si>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</si>
  <si>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</si>
  <si>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</si>
  <si>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</si>
  <si>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</si>
  <si>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</si>
  <si>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</si>
  <si>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</si>
  <si>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</si>
  <si>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</si>
  <si>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</si>
  <si>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</si>
  <si>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</si>
  <si>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</si>
  <si>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</si>
  <si>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</si>
  <si>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</si>
  <si>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</si>
  <si>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</si>
  <si>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</si>
  <si>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</si>
  <si>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</si>
  <si>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</si>
  <si>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</si>
  <si>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</si>
  <si>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</si>
  <si>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</si>
  <si>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</si>
  <si>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</si>
  <si>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</si>
  <si>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</si>
  <si>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</si>
  <si>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</si>
  <si>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</si>
  <si>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</si>
  <si>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</si>
  <si>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</si>
  <si>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</si>
  <si>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</si>
  <si>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</si>
  <si>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</si>
  <si>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</si>
  <si>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</si>
  <si>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</si>
  <si>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</si>
  <si>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</si>
  <si>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</si>
  <si>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</si>
  <si>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</si>
  <si>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</si>
  <si>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</si>
  <si>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</si>
  <si>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</si>
  <si>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</si>
  <si>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</si>
  <si>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</si>
  <si>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</si>
  <si>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</si>
  <si>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</si>
  <si>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</si>
  <si>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</si>
  <si>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</si>
  <si>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</si>
  <si>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</si>
  <si>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</si>
  <si>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</si>
  <si>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</si>
  <si>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</si>
  <si>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</si>
  <si>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</si>
  <si>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</si>
  <si>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</si>
  <si>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</si>
  <si>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</si>
  <si>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</si>
  <si>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</si>
  <si>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</si>
  <si>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</si>
  <si>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</si>
  <si>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</si>
  <si>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</si>
  <si>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</si>
  <si>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</si>
  <si>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</si>
  <si>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</si>
  <si>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</si>
  <si>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</si>
  <si>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</si>
  <si>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</si>
  <si>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</si>
  <si>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</si>
  <si>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</si>
  <si>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</si>
  <si>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</si>
  <si>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</si>
  <si>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</si>
  <si>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</si>
  <si>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</si>
  <si>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</si>
  <si>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</si>
  <si>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</si>
  <si>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</si>
  <si>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</si>
  <si>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</si>
  <si>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</si>
  <si>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</si>
  <si>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</si>
  <si>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</si>
  <si>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</si>
  <si>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</si>
  <si>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</si>
  <si>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</si>
  <si>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</si>
  <si>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</si>
  <si>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</si>
  <si>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</si>
  <si>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</si>
  <si>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</si>
  <si>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</si>
  <si>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</si>
  <si>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</si>
  <si>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</si>
  <si>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</si>
  <si>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</si>
  <si>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</si>
  <si>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</si>
  <si>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</si>
  <si>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</si>
  <si>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</si>
  <si>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</si>
  <si>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</si>
  <si>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</si>
  <si>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</si>
  <si>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</si>
  <si>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</si>
  <si>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</si>
  <si>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</si>
  <si>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</si>
  <si>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</si>
  <si>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</si>
  <si>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</si>
  <si>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</si>
  <si>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</si>
  <si>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</si>
  <si>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</si>
  <si>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</si>
  <si>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</si>
  <si>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</si>
  <si>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</si>
  <si>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</si>
  <si>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</si>
  <si>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</si>
  <si>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</si>
  <si>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</si>
  <si>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</si>
  <si>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</si>
  <si>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</si>
  <si>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</si>
  <si>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</si>
  <si>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</si>
  <si>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</si>
  <si>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</si>
  <si>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</si>
  <si>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</si>
  <si>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</si>
  <si>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</si>
  <si>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</si>
  <si>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</si>
  <si>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</si>
  <si>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</si>
  <si>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</si>
  <si>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</si>
  <si>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</si>
  <si>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</si>
  <si>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</si>
  <si>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</si>
  <si>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</si>
  <si>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</si>
  <si>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</si>
  <si>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</si>
  <si>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</si>
  <si>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</si>
  <si>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t xml:space="preserve">Мероприятие 3.06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</si>
  <si>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</si>
  <si>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</si>
  <si>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</si>
  <si>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</si>
  <si>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</si>
  <si>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</si>
  <si>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</si>
  <si>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</si>
  <si>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</si>
  <si>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</si>
  <si>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</si>
  <si>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</si>
  <si>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установленных детских игровых комплексов»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</si>
  <si>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«Приобретение и установка детских игровых комплексов»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</si>
  <si>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</si>
  <si>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Мероприятие 1.15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</si>
  <si>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</si>
  <si>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</si>
  <si>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</si>
  <si>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</si>
  <si>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>Мероприятие 2.09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</si>
  <si>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rPr>
        <b/>
        <sz val="12"/>
        <rFont val="Times New Roman"/>
        <family val="1"/>
        <charset val="204"/>
      </rPr>
      <t xml:space="preserve">Мероприятие 3.03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</si>
  <si>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4.02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</si>
  <si>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</si>
  <si>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</si>
  <si>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</si>
  <si>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</si>
  <si>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</si>
  <si>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</si>
  <si>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</si>
  <si>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</si>
  <si>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</si>
  <si>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</si>
  <si>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</si>
  <si>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</si>
  <si>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</si>
  <si>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</si>
  <si>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</si>
  <si>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</si>
  <si>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И</t>
  </si>
  <si>
    <t>П</t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</si>
  <si>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</si>
  <si>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</si>
  <si>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Д.А. Афонин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</si>
  <si>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технических паспортов парков и скверов на территории города Твери» </t>
    </r>
  </si>
  <si>
    <t>Приложение 1  
к постановлению Администрации города Твери
от «22»  марта 2021 № 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</si>
</sst>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49" fontId="2" fillId="4" borderId="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3" borderId="0" xfId="0" applyNumberFormat="1" applyFont="1" applyFill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75"/>
  <sheetViews>
    <sheetView tabSelected="1" view="pageBreakPreview" zoomScale="80" zoomScaleNormal="90" zoomScaleSheetLayoutView="80" zoomScalePageLayoutView="62" workbookViewId="0">
      <selection sqref="A1:AB1"/>
    </sheetView>
  </sheetViews>
  <sheetFormatPr defaultColWidth="8.5703125" defaultRowHeight="15.75" x14ac:dyDescent="0.25"/>
  <cols>
    <col min="1" max="17" width="2.7109375" style="8" customWidth="1"/>
    <col min="18" max="18" width="66.85546875" style="7" customWidth="1"/>
    <col min="19" max="19" width="10.140625" style="7" customWidth="1"/>
    <col min="20" max="21" width="10.5703125" style="7" customWidth="1"/>
    <col min="22" max="22" width="10.5703125" style="8" customWidth="1"/>
    <col min="23" max="26" width="10.5703125" style="7" customWidth="1"/>
    <col min="27" max="27" width="12" style="8" customWidth="1"/>
    <col min="28" max="28" width="6.7109375" style="7" customWidth="1"/>
    <col min="29" max="29" width="12.85546875" style="103" customWidth="1"/>
    <col min="30" max="30" width="13.42578125" style="7" customWidth="1"/>
    <col min="31" max="31" width="11.7109375" style="7" bestFit="1" customWidth="1"/>
    <col min="32" max="32" width="10.7109375" style="7" customWidth="1"/>
    <col min="33" max="34" width="10.42578125" style="7" bestFit="1" customWidth="1"/>
    <col min="35" max="35" width="12.28515625" style="7" bestFit="1" customWidth="1"/>
    <col min="36" max="36" width="11.42578125" style="7" bestFit="1" customWidth="1"/>
    <col min="37" max="16384" width="8.5703125" style="7"/>
  </cols>
  <sheetData>
    <row r="1" spans="1:35" ht="49.15" customHeight="1" x14ac:dyDescent="0.25">
      <c r="A1" s="168" t="s">
        <v>365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02"/>
      <c r="AD1" s="102"/>
      <c r="AE1" s="102"/>
    </row>
    <row r="2" spans="1:35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02"/>
      <c r="AD2" s="102"/>
      <c r="AE2" s="102"/>
    </row>
    <row r="3" spans="1:35" ht="13.9" customHeight="1" x14ac:dyDescent="0.25">
      <c r="A3" s="168" t="s">
        <v>320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02"/>
      <c r="AD3" s="102"/>
      <c r="AE3" s="102"/>
    </row>
    <row r="4" spans="1:35" x14ac:dyDescent="0.25">
      <c r="A4" s="168" t="s">
        <v>26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9"/>
    </row>
    <row r="5" spans="1:35" x14ac:dyDescent="0.25">
      <c r="A5" s="168" t="s">
        <v>48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9"/>
    </row>
    <row r="6" spans="1:35" x14ac:dyDescent="0.25">
      <c r="A6" s="168" t="s">
        <v>289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</row>
    <row r="7" spans="1:3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44"/>
      <c r="S7" s="144"/>
      <c r="T7" s="144"/>
      <c r="U7" s="144"/>
      <c r="V7" s="11"/>
      <c r="W7" s="144"/>
      <c r="X7" s="162"/>
      <c r="Y7" s="162"/>
      <c r="Z7" s="162"/>
      <c r="AA7" s="162"/>
      <c r="AB7" s="162"/>
    </row>
    <row r="8" spans="1:35" ht="18.75" x14ac:dyDescent="0.25">
      <c r="A8" s="163" t="s">
        <v>12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9"/>
      <c r="AD8" s="12"/>
    </row>
    <row r="9" spans="1:35" ht="18.75" x14ac:dyDescent="0.25">
      <c r="A9" s="163" t="s">
        <v>288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</row>
    <row r="10" spans="1:35" x14ac:dyDescent="0.25">
      <c r="A10" s="164" t="s">
        <v>57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</row>
    <row r="11" spans="1:35" ht="9" customHeight="1" x14ac:dyDescent="0.25">
      <c r="V11" s="13"/>
    </row>
    <row r="12" spans="1:35" s="97" customFormat="1" ht="40.15" customHeight="1" x14ac:dyDescent="0.25">
      <c r="A12" s="165" t="s">
        <v>16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 t="s">
        <v>13</v>
      </c>
      <c r="S12" s="166" t="s">
        <v>33</v>
      </c>
      <c r="T12" s="166" t="s">
        <v>14</v>
      </c>
      <c r="U12" s="166"/>
      <c r="V12" s="166"/>
      <c r="W12" s="166"/>
      <c r="X12" s="166"/>
      <c r="Y12" s="166"/>
      <c r="Z12" s="166"/>
      <c r="AA12" s="167" t="s">
        <v>10</v>
      </c>
      <c r="AB12" s="167"/>
      <c r="AC12" s="9"/>
      <c r="AD12" s="9"/>
      <c r="AE12" s="9"/>
      <c r="AF12" s="9"/>
      <c r="AG12" s="9"/>
      <c r="AH12" s="9"/>
    </row>
    <row r="13" spans="1:35" s="97" customFormat="1" ht="51.6" customHeight="1" x14ac:dyDescent="0.25">
      <c r="A13" s="165" t="s">
        <v>29</v>
      </c>
      <c r="B13" s="165"/>
      <c r="C13" s="165"/>
      <c r="D13" s="165" t="s">
        <v>27</v>
      </c>
      <c r="E13" s="165"/>
      <c r="F13" s="165" t="s">
        <v>28</v>
      </c>
      <c r="G13" s="165"/>
      <c r="H13" s="165" t="s">
        <v>17</v>
      </c>
      <c r="I13" s="165"/>
      <c r="J13" s="165"/>
      <c r="K13" s="165"/>
      <c r="L13" s="165"/>
      <c r="M13" s="165"/>
      <c r="N13" s="165"/>
      <c r="O13" s="165"/>
      <c r="P13" s="165"/>
      <c r="Q13" s="165"/>
      <c r="R13" s="166"/>
      <c r="S13" s="166"/>
      <c r="T13" s="142">
        <v>2018</v>
      </c>
      <c r="U13" s="142">
        <v>2019</v>
      </c>
      <c r="V13" s="142">
        <v>2020</v>
      </c>
      <c r="W13" s="142">
        <v>2021</v>
      </c>
      <c r="X13" s="142">
        <v>2022</v>
      </c>
      <c r="Y13" s="142">
        <v>2023</v>
      </c>
      <c r="Z13" s="142">
        <v>2024</v>
      </c>
      <c r="AA13" s="142" t="s">
        <v>11</v>
      </c>
      <c r="AB13" s="142" t="s">
        <v>30</v>
      </c>
      <c r="AC13" s="14"/>
      <c r="AD13" s="15"/>
      <c r="AE13" s="15"/>
      <c r="AF13" s="16"/>
      <c r="AG13" s="16"/>
      <c r="AH13" s="16"/>
    </row>
    <row r="14" spans="1:35" s="97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  <c r="AA14" s="17">
        <v>27</v>
      </c>
      <c r="AB14" s="17">
        <v>28</v>
      </c>
      <c r="AC14" s="18"/>
      <c r="AD14" s="19"/>
      <c r="AE14" s="20"/>
      <c r="AF14" s="16"/>
      <c r="AG14" s="16"/>
      <c r="AH14" s="16"/>
    </row>
    <row r="15" spans="1:35" s="8" customFormat="1" ht="33.6" customHeight="1" x14ac:dyDescent="0.25">
      <c r="A15" s="21"/>
      <c r="B15" s="21"/>
      <c r="C15" s="21"/>
      <c r="D15" s="21"/>
      <c r="E15" s="21"/>
      <c r="F15" s="21"/>
      <c r="G15" s="21"/>
      <c r="H15" s="21" t="s">
        <v>19</v>
      </c>
      <c r="I15" s="21" t="s">
        <v>24</v>
      </c>
      <c r="J15" s="21" t="s">
        <v>18</v>
      </c>
      <c r="K15" s="21" t="s">
        <v>18</v>
      </c>
      <c r="L15" s="21" t="s">
        <v>18</v>
      </c>
      <c r="M15" s="21" t="s">
        <v>18</v>
      </c>
      <c r="N15" s="21" t="s">
        <v>18</v>
      </c>
      <c r="O15" s="21" t="s">
        <v>18</v>
      </c>
      <c r="P15" s="21" t="s">
        <v>18</v>
      </c>
      <c r="Q15" s="21" t="s">
        <v>18</v>
      </c>
      <c r="R15" s="22" t="s">
        <v>15</v>
      </c>
      <c r="S15" s="23" t="s">
        <v>0</v>
      </c>
      <c r="T15" s="24">
        <f t="shared" ref="T15:Z15" si="0">T29+T153+T497+T558</f>
        <v>505632.41500000004</v>
      </c>
      <c r="U15" s="24">
        <f t="shared" si="0"/>
        <v>641164.1</v>
      </c>
      <c r="V15" s="24">
        <f t="shared" si="0"/>
        <v>454063.09999999992</v>
      </c>
      <c r="W15" s="24">
        <f t="shared" si="0"/>
        <v>404916.4</v>
      </c>
      <c r="X15" s="24">
        <f t="shared" si="0"/>
        <v>292114.5</v>
      </c>
      <c r="Y15" s="24">
        <f t="shared" si="0"/>
        <v>292114.5</v>
      </c>
      <c r="Z15" s="24">
        <f t="shared" si="0"/>
        <v>304287.90000000002</v>
      </c>
      <c r="AA15" s="24">
        <f>SUM(T15:Z15)</f>
        <v>2894292.915</v>
      </c>
      <c r="AB15" s="23">
        <v>2024</v>
      </c>
      <c r="AC15" s="14"/>
      <c r="AD15" s="14"/>
      <c r="AE15" s="14"/>
      <c r="AF15" s="14"/>
      <c r="AG15" s="14"/>
      <c r="AH15" s="14"/>
      <c r="AI15" s="25"/>
    </row>
    <row r="16" spans="1:35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Y22" si="4">W16*104.9%</f>
        <v>#VALUE!</v>
      </c>
      <c r="Y16" s="29" t="e">
        <f t="shared" si="4"/>
        <v>#VALUE!</v>
      </c>
      <c r="Z16" s="29"/>
      <c r="AA16" s="29" t="e">
        <f t="shared" ref="AA16:AA22" si="5">T16+U16+V16+W16+X16+Y16</f>
        <v>#VALUE!</v>
      </c>
      <c r="AB16" s="30">
        <v>2019</v>
      </c>
      <c r="AC16" s="31"/>
    </row>
    <row r="17" spans="1:36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 t="e">
        <f t="shared" si="4"/>
        <v>#VALUE!</v>
      </c>
      <c r="Z17" s="29"/>
      <c r="AA17" s="29" t="e">
        <f t="shared" si="5"/>
        <v>#VALUE!</v>
      </c>
      <c r="AB17" s="30">
        <v>2019</v>
      </c>
      <c r="AC17" s="31"/>
    </row>
    <row r="18" spans="1:36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 t="e">
        <f t="shared" si="4"/>
        <v>#VALUE!</v>
      </c>
      <c r="Z18" s="29"/>
      <c r="AA18" s="29" t="e">
        <f t="shared" si="5"/>
        <v>#VALUE!</v>
      </c>
      <c r="AB18" s="30">
        <v>2019</v>
      </c>
      <c r="AC18" s="31"/>
    </row>
    <row r="19" spans="1:36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8" customFormat="1" ht="31.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59</v>
      </c>
      <c r="S23" s="17"/>
      <c r="T23" s="36"/>
      <c r="U23" s="36"/>
      <c r="V23" s="36"/>
      <c r="W23" s="36"/>
      <c r="X23" s="36"/>
      <c r="Y23" s="36"/>
      <c r="Z23" s="36"/>
      <c r="AA23" s="36"/>
      <c r="AB23" s="143"/>
      <c r="AC23" s="93"/>
      <c r="AD23" s="38"/>
      <c r="AE23" s="38"/>
    </row>
    <row r="24" spans="1:36" ht="47.2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 t="s">
        <v>60</v>
      </c>
      <c r="S24" s="41" t="s">
        <v>9</v>
      </c>
      <c r="T24" s="3">
        <f xml:space="preserve"> (416.9+89.6)/2557*100</f>
        <v>19.8083691826359</v>
      </c>
      <c r="U24" s="3">
        <f xml:space="preserve"> (416.9+89.6+58.4)/2557*100</f>
        <v>22.09229565897536</v>
      </c>
      <c r="V24" s="3">
        <f xml:space="preserve"> (416.9+89.6+58.4+46.2)/2557*100</f>
        <v>23.899100508408292</v>
      </c>
      <c r="W24" s="3">
        <f xml:space="preserve"> (416.9+89.6+58.4+46.2+66.5)/2557*100</f>
        <v>26.499804458349629</v>
      </c>
      <c r="X24" s="3">
        <f xml:space="preserve"> (416.9+89.6+58.4+46.2+66.5+64.3)/2557*100</f>
        <v>29.014470082127492</v>
      </c>
      <c r="Y24" s="3">
        <f xml:space="preserve"> (416.9+89.6+58.4+46.2+66.5+64.3+64.3)/2557*100</f>
        <v>31.529135705905354</v>
      </c>
      <c r="Z24" s="3">
        <f xml:space="preserve"> (416.9+89.6+58.4+46.2+66.5+64.3+64.3+64.3)/2557*100</f>
        <v>34.043801329683212</v>
      </c>
      <c r="AA24" s="6">
        <f>Z24</f>
        <v>34.043801329683212</v>
      </c>
      <c r="AB24" s="142">
        <v>2024</v>
      </c>
      <c r="AC24" s="33"/>
    </row>
    <row r="25" spans="1:36" ht="47.2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 t="s">
        <v>61</v>
      </c>
      <c r="S25" s="41" t="s">
        <v>9</v>
      </c>
      <c r="T25" s="3">
        <f>((842+61)+58)/2737*100</f>
        <v>35.111435878699304</v>
      </c>
      <c r="U25" s="3">
        <f>((842+61)+58+42)/2738*100</f>
        <v>36.632578524470418</v>
      </c>
      <c r="V25" s="3">
        <f>((842+61)+58+42+7)/2738*100</f>
        <v>36.888239590942298</v>
      </c>
      <c r="W25" s="3">
        <f>((842+61)+58+42+7+7)/2738*100</f>
        <v>37.143900657414171</v>
      </c>
      <c r="X25" s="3">
        <f>((842+61)+58+42+7+7+10)/2738*100</f>
        <v>37.509130752373999</v>
      </c>
      <c r="Y25" s="3">
        <f>((842+61)+58+42+7+7+10+10)/2738*100</f>
        <v>37.874360847333818</v>
      </c>
      <c r="Z25" s="3">
        <f>((842+61)+58+42+7+7+10+10+37)/2738*100</f>
        <v>39.225712198685173</v>
      </c>
      <c r="AA25" s="6">
        <f>Z25</f>
        <v>39.225712198685173</v>
      </c>
      <c r="AB25" s="142">
        <v>2024</v>
      </c>
      <c r="AC25" s="42"/>
      <c r="AD25" s="43"/>
      <c r="AE25" s="43"/>
      <c r="AF25" s="12"/>
    </row>
    <row r="26" spans="1:36" ht="47.25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62</v>
      </c>
      <c r="S26" s="41" t="s">
        <v>34</v>
      </c>
      <c r="T26" s="129">
        <f>T30/420.1</f>
        <v>0.21328255177338726</v>
      </c>
      <c r="U26" s="129">
        <f>U30/420.1</f>
        <v>0.13901452035229706</v>
      </c>
      <c r="V26" s="129">
        <f>V30/420.1</f>
        <v>0.10997381575815282</v>
      </c>
      <c r="W26" s="129">
        <f t="shared" ref="W26:Z26" si="6">W30/420.1</f>
        <v>0.15877172101880505</v>
      </c>
      <c r="X26" s="129">
        <f t="shared" si="6"/>
        <v>0.153058795524875</v>
      </c>
      <c r="Y26" s="129">
        <f t="shared" si="6"/>
        <v>0.153058795524875</v>
      </c>
      <c r="Z26" s="129">
        <f t="shared" si="6"/>
        <v>0.153058795524875</v>
      </c>
      <c r="AA26" s="6">
        <f>SUM(T26:Z26)</f>
        <v>1.0802189954772672</v>
      </c>
      <c r="AB26" s="142">
        <v>2024</v>
      </c>
      <c r="AC26" s="33"/>
    </row>
    <row r="27" spans="1:36" ht="31.5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 t="s">
        <v>63</v>
      </c>
      <c r="S27" s="142" t="s">
        <v>52</v>
      </c>
      <c r="T27" s="3">
        <f>T126</f>
        <v>2557</v>
      </c>
      <c r="U27" s="3">
        <f t="shared" ref="U27:Z27" si="7">U126</f>
        <v>2220.9</v>
      </c>
      <c r="V27" s="3">
        <f t="shared" si="7"/>
        <v>2165.9</v>
      </c>
      <c r="W27" s="3">
        <f>W126</f>
        <v>2221</v>
      </c>
      <c r="X27" s="3">
        <f t="shared" si="7"/>
        <v>2221</v>
      </c>
      <c r="Y27" s="3">
        <f t="shared" si="7"/>
        <v>2221</v>
      </c>
      <c r="Z27" s="3">
        <f t="shared" si="7"/>
        <v>2221</v>
      </c>
      <c r="AA27" s="5">
        <f>SUM(Y27)</f>
        <v>2221</v>
      </c>
      <c r="AB27" s="142">
        <v>2024</v>
      </c>
      <c r="AC27" s="33"/>
      <c r="AD27" s="25"/>
      <c r="AE27" s="12"/>
      <c r="AF27" s="12"/>
      <c r="AG27" s="12"/>
      <c r="AH27" s="12"/>
      <c r="AI27" s="12"/>
      <c r="AJ27" s="12"/>
    </row>
    <row r="28" spans="1:36" ht="47.25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64</v>
      </c>
      <c r="S28" s="142" t="s">
        <v>50</v>
      </c>
      <c r="T28" s="44">
        <f>T123</f>
        <v>2400</v>
      </c>
      <c r="U28" s="44">
        <f t="shared" ref="U28:Y28" si="8">U123</f>
        <v>2400</v>
      </c>
      <c r="V28" s="44">
        <f t="shared" si="8"/>
        <v>4059</v>
      </c>
      <c r="W28" s="44">
        <f t="shared" si="8"/>
        <v>3100</v>
      </c>
      <c r="X28" s="44">
        <f t="shared" si="8"/>
        <v>3100</v>
      </c>
      <c r="Y28" s="44">
        <f t="shared" si="8"/>
        <v>3100</v>
      </c>
      <c r="Z28" s="44">
        <f t="shared" ref="Z28" si="9">Z123</f>
        <v>3100</v>
      </c>
      <c r="AA28" s="45">
        <f>SUM(T28:Z28)</f>
        <v>21259</v>
      </c>
      <c r="AB28" s="142">
        <v>2024</v>
      </c>
      <c r="AC28" s="33"/>
    </row>
    <row r="29" spans="1:36" ht="31.5" x14ac:dyDescent="0.25">
      <c r="A29" s="46"/>
      <c r="B29" s="46"/>
      <c r="C29" s="46"/>
      <c r="D29" s="46"/>
      <c r="E29" s="46"/>
      <c r="F29" s="46"/>
      <c r="G29" s="46"/>
      <c r="H29" s="46" t="s">
        <v>19</v>
      </c>
      <c r="I29" s="46" t="s">
        <v>24</v>
      </c>
      <c r="J29" s="46" t="s">
        <v>18</v>
      </c>
      <c r="K29" s="46" t="s">
        <v>18</v>
      </c>
      <c r="L29" s="46" t="s">
        <v>19</v>
      </c>
      <c r="M29" s="46" t="s">
        <v>18</v>
      </c>
      <c r="N29" s="46" t="s">
        <v>18</v>
      </c>
      <c r="O29" s="46" t="s">
        <v>18</v>
      </c>
      <c r="P29" s="46" t="s">
        <v>18</v>
      </c>
      <c r="Q29" s="46" t="s">
        <v>18</v>
      </c>
      <c r="R29" s="47" t="s">
        <v>35</v>
      </c>
      <c r="S29" s="75" t="s">
        <v>261</v>
      </c>
      <c r="T29" s="148">
        <f>T39+T49+T55+T66+T82+T104+T107+T117+T120+T128+T131+T133+T141</f>
        <v>325992.60000000003</v>
      </c>
      <c r="U29" s="148">
        <f>U39+U49+U55+U66+U82+U104+U107+U117+U120+U128+U131+U133</f>
        <v>483865.9</v>
      </c>
      <c r="V29" s="148">
        <f>V39+V55+V66+V82+V104+V107+V117+V120+V128+V131+V133+V141</f>
        <v>417830.99999999994</v>
      </c>
      <c r="W29" s="148">
        <f>W39+W49+W55+W66+W82+W104+W107+W117+W120+W128+W131+W133+W141+W143</f>
        <v>357572.9</v>
      </c>
      <c r="X29" s="148">
        <f t="shared" ref="X29:Z29" si="10">X39+X49+X55+X66+X82+X104+X107+X117+X120+X128+X131+X133+X141+X143</f>
        <v>255860.1</v>
      </c>
      <c r="Y29" s="148">
        <f t="shared" si="10"/>
        <v>255860.1</v>
      </c>
      <c r="Z29" s="148">
        <f t="shared" si="10"/>
        <v>255860.1</v>
      </c>
      <c r="AA29" s="148">
        <f>SUM(T29:Z29)</f>
        <v>2352842.7000000002</v>
      </c>
      <c r="AB29" s="149">
        <v>2024</v>
      </c>
      <c r="AC29" s="111"/>
    </row>
    <row r="30" spans="1:36" ht="31.1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8" t="s">
        <v>65</v>
      </c>
      <c r="S30" s="142" t="s">
        <v>52</v>
      </c>
      <c r="T30" s="4">
        <f>T45+T140</f>
        <v>89.6</v>
      </c>
      <c r="U30" s="4">
        <f>U45+U140</f>
        <v>58.4</v>
      </c>
      <c r="V30" s="3">
        <f>V45+V140</f>
        <v>46.2</v>
      </c>
      <c r="W30" s="4">
        <f>W45+W140</f>
        <v>66.7</v>
      </c>
      <c r="X30" s="4">
        <f>X45+X140</f>
        <v>64.3</v>
      </c>
      <c r="Y30" s="4">
        <f t="shared" ref="Y30:Z30" si="11">Y45+Y140</f>
        <v>64.3</v>
      </c>
      <c r="Z30" s="4">
        <f t="shared" si="11"/>
        <v>64.3</v>
      </c>
      <c r="AA30" s="5">
        <f>SUM(T30:Z30)</f>
        <v>453.8</v>
      </c>
      <c r="AB30" s="142">
        <v>2024</v>
      </c>
      <c r="AC30" s="33"/>
    </row>
    <row r="31" spans="1:36" s="51" customFormat="1" ht="31.1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 t="s">
        <v>66</v>
      </c>
      <c r="S31" s="41" t="s">
        <v>38</v>
      </c>
      <c r="T31" s="2">
        <f>T44+T139</f>
        <v>5</v>
      </c>
      <c r="U31" s="2">
        <f>U44+U139</f>
        <v>6</v>
      </c>
      <c r="V31" s="44">
        <f>V44+V139</f>
        <v>4</v>
      </c>
      <c r="W31" s="2">
        <f>W44+W139</f>
        <v>3</v>
      </c>
      <c r="X31" s="2">
        <f>X44+X139</f>
        <v>3</v>
      </c>
      <c r="Y31" s="44">
        <f>Y139</f>
        <v>3</v>
      </c>
      <c r="Z31" s="44">
        <f>Z139</f>
        <v>3</v>
      </c>
      <c r="AA31" s="45">
        <f>SUM(T31:Z31)</f>
        <v>27</v>
      </c>
      <c r="AB31" s="142">
        <v>2024</v>
      </c>
      <c r="AC31" s="33"/>
      <c r="AD31" s="50"/>
    </row>
    <row r="32" spans="1:36" s="51" customFormat="1" ht="31.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 t="s">
        <v>67</v>
      </c>
      <c r="S32" s="41" t="s">
        <v>9</v>
      </c>
      <c r="T32" s="52">
        <v>100</v>
      </c>
      <c r="U32" s="52">
        <v>100</v>
      </c>
      <c r="V32" s="52">
        <v>100</v>
      </c>
      <c r="W32" s="52">
        <v>100</v>
      </c>
      <c r="X32" s="52">
        <v>100</v>
      </c>
      <c r="Y32" s="52">
        <v>100</v>
      </c>
      <c r="Z32" s="52">
        <v>100</v>
      </c>
      <c r="AA32" s="53">
        <v>100</v>
      </c>
      <c r="AB32" s="142">
        <v>2024</v>
      </c>
      <c r="AC32" s="33"/>
      <c r="AD32" s="50"/>
    </row>
    <row r="33" spans="1:31" ht="47.25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5" t="s">
        <v>68</v>
      </c>
      <c r="S33" s="142" t="s">
        <v>50</v>
      </c>
      <c r="T33" s="44">
        <f t="shared" ref="T33:Y33" si="12">T123</f>
        <v>2400</v>
      </c>
      <c r="U33" s="44">
        <f t="shared" si="12"/>
        <v>2400</v>
      </c>
      <c r="V33" s="44">
        <f t="shared" si="12"/>
        <v>4059</v>
      </c>
      <c r="W33" s="44">
        <f t="shared" si="12"/>
        <v>3100</v>
      </c>
      <c r="X33" s="44">
        <f t="shared" si="12"/>
        <v>3100</v>
      </c>
      <c r="Y33" s="44">
        <f t="shared" si="12"/>
        <v>3100</v>
      </c>
      <c r="Z33" s="44">
        <f t="shared" ref="Z33" si="13">Z123</f>
        <v>3100</v>
      </c>
      <c r="AA33" s="45">
        <f>SUM(T33:Z33)</f>
        <v>21259</v>
      </c>
      <c r="AB33" s="142">
        <v>2024</v>
      </c>
      <c r="AC33" s="33"/>
    </row>
    <row r="34" spans="1:31" ht="31.5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5" t="s">
        <v>69</v>
      </c>
      <c r="S34" s="142" t="s">
        <v>38</v>
      </c>
      <c r="T34" s="44">
        <f t="shared" ref="T34:Y34" si="14">T56</f>
        <v>10</v>
      </c>
      <c r="U34" s="44">
        <f t="shared" si="14"/>
        <v>10</v>
      </c>
      <c r="V34" s="44">
        <f t="shared" si="14"/>
        <v>9</v>
      </c>
      <c r="W34" s="44">
        <f t="shared" si="14"/>
        <v>9</v>
      </c>
      <c r="X34" s="44">
        <f t="shared" si="14"/>
        <v>9</v>
      </c>
      <c r="Y34" s="44">
        <f t="shared" si="14"/>
        <v>9</v>
      </c>
      <c r="Z34" s="44">
        <f t="shared" ref="Z34" si="15">Z56</f>
        <v>9</v>
      </c>
      <c r="AA34" s="49">
        <v>10</v>
      </c>
      <c r="AB34" s="142">
        <v>2024</v>
      </c>
      <c r="AC34" s="33"/>
    </row>
    <row r="35" spans="1:31" ht="31.5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8" t="s">
        <v>70</v>
      </c>
      <c r="S35" s="142" t="s">
        <v>38</v>
      </c>
      <c r="T35" s="44">
        <f t="shared" ref="T35:Y35" si="16">T67</f>
        <v>20</v>
      </c>
      <c r="U35" s="2">
        <f t="shared" si="16"/>
        <v>20</v>
      </c>
      <c r="V35" s="2">
        <f t="shared" si="16"/>
        <v>20</v>
      </c>
      <c r="W35" s="2">
        <f t="shared" si="16"/>
        <v>20</v>
      </c>
      <c r="X35" s="2">
        <f t="shared" si="16"/>
        <v>20</v>
      </c>
      <c r="Y35" s="2">
        <f t="shared" si="16"/>
        <v>20</v>
      </c>
      <c r="Z35" s="2">
        <f t="shared" ref="Z35" si="17">Z67</f>
        <v>20</v>
      </c>
      <c r="AA35" s="49">
        <v>20</v>
      </c>
      <c r="AB35" s="142">
        <v>2024</v>
      </c>
      <c r="AC35" s="33"/>
    </row>
    <row r="36" spans="1:31" s="51" customFormat="1" ht="63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8" t="s">
        <v>334</v>
      </c>
      <c r="S36" s="41" t="s">
        <v>38</v>
      </c>
      <c r="T36" s="44">
        <f>T85</f>
        <v>25</v>
      </c>
      <c r="U36" s="44">
        <f>U85</f>
        <v>77</v>
      </c>
      <c r="V36" s="44">
        <f t="shared" ref="V36:Y36" si="18">V85</f>
        <v>74</v>
      </c>
      <c r="W36" s="44">
        <f t="shared" si="18"/>
        <v>74</v>
      </c>
      <c r="X36" s="44">
        <f t="shared" si="18"/>
        <v>74</v>
      </c>
      <c r="Y36" s="44">
        <f t="shared" si="18"/>
        <v>74</v>
      </c>
      <c r="Z36" s="44">
        <f t="shared" ref="Z36" si="19">Z85</f>
        <v>74</v>
      </c>
      <c r="AA36" s="49">
        <f>SUM(T36:Z36)</f>
        <v>472</v>
      </c>
      <c r="AB36" s="142">
        <v>2024</v>
      </c>
      <c r="AC36" s="111"/>
      <c r="AD36" s="50"/>
    </row>
    <row r="37" spans="1:31" s="51" customFormat="1" ht="63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141" t="s">
        <v>71</v>
      </c>
      <c r="S37" s="55" t="s">
        <v>41</v>
      </c>
      <c r="T37" s="56">
        <v>1</v>
      </c>
      <c r="U37" s="56">
        <v>1</v>
      </c>
      <c r="V37" s="56">
        <v>1</v>
      </c>
      <c r="W37" s="56">
        <v>1</v>
      </c>
      <c r="X37" s="56">
        <v>1</v>
      </c>
      <c r="Y37" s="56">
        <v>1</v>
      </c>
      <c r="Z37" s="56">
        <v>1</v>
      </c>
      <c r="AA37" s="57">
        <v>1</v>
      </c>
      <c r="AB37" s="58">
        <v>2024</v>
      </c>
      <c r="AC37" s="33"/>
      <c r="AD37" s="50"/>
    </row>
    <row r="38" spans="1:31" ht="31.5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 t="s">
        <v>72</v>
      </c>
      <c r="S38" s="41" t="s">
        <v>38</v>
      </c>
      <c r="T38" s="44">
        <v>5</v>
      </c>
      <c r="U38" s="2">
        <v>6</v>
      </c>
      <c r="V38" s="2">
        <v>6</v>
      </c>
      <c r="W38" s="2">
        <v>6</v>
      </c>
      <c r="X38" s="2">
        <v>6</v>
      </c>
      <c r="Y38" s="2">
        <v>6</v>
      </c>
      <c r="Z38" s="2">
        <v>6</v>
      </c>
      <c r="AA38" s="49">
        <f>SUM(T38:Z38)</f>
        <v>41</v>
      </c>
      <c r="AB38" s="142">
        <v>2024</v>
      </c>
      <c r="AC38" s="121"/>
      <c r="AD38" s="102"/>
      <c r="AE38" s="8"/>
    </row>
    <row r="39" spans="1:31" x14ac:dyDescent="0.25">
      <c r="A39" s="54" t="s">
        <v>18</v>
      </c>
      <c r="B39" s="54" t="s">
        <v>19</v>
      </c>
      <c r="C39" s="54" t="s">
        <v>20</v>
      </c>
      <c r="D39" s="54" t="s">
        <v>18</v>
      </c>
      <c r="E39" s="54" t="s">
        <v>21</v>
      </c>
      <c r="F39" s="54" t="s">
        <v>18</v>
      </c>
      <c r="G39" s="54" t="s">
        <v>22</v>
      </c>
      <c r="H39" s="54" t="s">
        <v>19</v>
      </c>
      <c r="I39" s="54" t="s">
        <v>24</v>
      </c>
      <c r="J39" s="54" t="s">
        <v>18</v>
      </c>
      <c r="K39" s="54" t="s">
        <v>18</v>
      </c>
      <c r="L39" s="54" t="s">
        <v>19</v>
      </c>
      <c r="M39" s="54" t="s">
        <v>18</v>
      </c>
      <c r="N39" s="54" t="s">
        <v>18</v>
      </c>
      <c r="O39" s="54" t="s">
        <v>18</v>
      </c>
      <c r="P39" s="54" t="s">
        <v>18</v>
      </c>
      <c r="Q39" s="54" t="s">
        <v>18</v>
      </c>
      <c r="R39" s="153" t="s">
        <v>73</v>
      </c>
      <c r="S39" s="55" t="s">
        <v>0</v>
      </c>
      <c r="T39" s="59">
        <f t="shared" ref="T39:Y39" si="20">T40+T41+T42+T43</f>
        <v>85389.599999999991</v>
      </c>
      <c r="U39" s="59">
        <f t="shared" si="20"/>
        <v>921.2</v>
      </c>
      <c r="V39" s="59">
        <f t="shared" si="20"/>
        <v>350</v>
      </c>
      <c r="W39" s="59">
        <f t="shared" si="20"/>
        <v>2477.4</v>
      </c>
      <c r="X39" s="59">
        <f t="shared" si="20"/>
        <v>0</v>
      </c>
      <c r="Y39" s="59">
        <f t="shared" si="20"/>
        <v>0</v>
      </c>
      <c r="Z39" s="59">
        <f t="shared" ref="Z39" si="21">Z40+Z41+Z42+Z43</f>
        <v>0</v>
      </c>
      <c r="AA39" s="59">
        <f>SUM(T39:Y39)</f>
        <v>89138.199999999983</v>
      </c>
      <c r="AB39" s="58">
        <v>2018</v>
      </c>
      <c r="AC39" s="125"/>
      <c r="AD39" s="60"/>
      <c r="AE39" s="8"/>
    </row>
    <row r="40" spans="1:31" ht="16.899999999999999" hidden="1" customHeight="1" x14ac:dyDescent="0.25">
      <c r="A40" s="54" t="s">
        <v>18</v>
      </c>
      <c r="B40" s="54" t="s">
        <v>19</v>
      </c>
      <c r="C40" s="54" t="s">
        <v>20</v>
      </c>
      <c r="D40" s="54" t="s">
        <v>18</v>
      </c>
      <c r="E40" s="54" t="s">
        <v>21</v>
      </c>
      <c r="F40" s="54" t="s">
        <v>18</v>
      </c>
      <c r="G40" s="54" t="s">
        <v>22</v>
      </c>
      <c r="H40" s="54" t="s">
        <v>19</v>
      </c>
      <c r="I40" s="54" t="s">
        <v>24</v>
      </c>
      <c r="J40" s="54" t="s">
        <v>18</v>
      </c>
      <c r="K40" s="54" t="s">
        <v>18</v>
      </c>
      <c r="L40" s="54" t="s">
        <v>19</v>
      </c>
      <c r="M40" s="54" t="s">
        <v>44</v>
      </c>
      <c r="N40" s="54" t="s">
        <v>21</v>
      </c>
      <c r="O40" s="54" t="s">
        <v>21</v>
      </c>
      <c r="P40" s="54" t="s">
        <v>21</v>
      </c>
      <c r="Q40" s="54" t="s">
        <v>45</v>
      </c>
      <c r="R40" s="153"/>
      <c r="S40" s="55" t="s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59">
        <f>SUM(T40:Y40)</f>
        <v>0</v>
      </c>
      <c r="AB40" s="58">
        <v>2022</v>
      </c>
      <c r="AD40" s="60"/>
      <c r="AE40" s="8"/>
    </row>
    <row r="41" spans="1:31" ht="16.899999999999999" hidden="1" customHeight="1" x14ac:dyDescent="0.25">
      <c r="A41" s="54" t="s">
        <v>18</v>
      </c>
      <c r="B41" s="54" t="s">
        <v>19</v>
      </c>
      <c r="C41" s="54" t="s">
        <v>20</v>
      </c>
      <c r="D41" s="54" t="s">
        <v>18</v>
      </c>
      <c r="E41" s="54" t="s">
        <v>21</v>
      </c>
      <c r="F41" s="54" t="s">
        <v>18</v>
      </c>
      <c r="G41" s="54" t="s">
        <v>22</v>
      </c>
      <c r="H41" s="54" t="s">
        <v>19</v>
      </c>
      <c r="I41" s="54" t="s">
        <v>24</v>
      </c>
      <c r="J41" s="54" t="s">
        <v>18</v>
      </c>
      <c r="K41" s="54" t="s">
        <v>18</v>
      </c>
      <c r="L41" s="54" t="s">
        <v>19</v>
      </c>
      <c r="M41" s="54" t="s">
        <v>44</v>
      </c>
      <c r="N41" s="54" t="s">
        <v>21</v>
      </c>
      <c r="O41" s="54" t="s">
        <v>21</v>
      </c>
      <c r="P41" s="54" t="s">
        <v>21</v>
      </c>
      <c r="Q41" s="54" t="s">
        <v>45</v>
      </c>
      <c r="R41" s="153"/>
      <c r="S41" s="55" t="s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59">
        <f>SUM(T41:Y41)</f>
        <v>0</v>
      </c>
      <c r="AB41" s="58">
        <v>2022</v>
      </c>
      <c r="AD41" s="60"/>
      <c r="AE41" s="8"/>
    </row>
    <row r="42" spans="1:31" x14ac:dyDescent="0.25">
      <c r="A42" s="54" t="s">
        <v>18</v>
      </c>
      <c r="B42" s="54" t="s">
        <v>19</v>
      </c>
      <c r="C42" s="54" t="s">
        <v>20</v>
      </c>
      <c r="D42" s="54" t="s">
        <v>18</v>
      </c>
      <c r="E42" s="54" t="s">
        <v>21</v>
      </c>
      <c r="F42" s="54" t="s">
        <v>18</v>
      </c>
      <c r="G42" s="54" t="s">
        <v>22</v>
      </c>
      <c r="H42" s="54" t="s">
        <v>19</v>
      </c>
      <c r="I42" s="54" t="s">
        <v>24</v>
      </c>
      <c r="J42" s="54" t="s">
        <v>18</v>
      </c>
      <c r="K42" s="54" t="s">
        <v>18</v>
      </c>
      <c r="L42" s="54" t="s">
        <v>19</v>
      </c>
      <c r="M42" s="54" t="s">
        <v>40</v>
      </c>
      <c r="N42" s="54" t="s">
        <v>21</v>
      </c>
      <c r="O42" s="54" t="s">
        <v>21</v>
      </c>
      <c r="P42" s="54" t="s">
        <v>21</v>
      </c>
      <c r="Q42" s="54" t="s">
        <v>18</v>
      </c>
      <c r="R42" s="153"/>
      <c r="S42" s="55" t="s">
        <v>0</v>
      </c>
      <c r="T42" s="1">
        <f>80246+3777-348.6</f>
        <v>83674.399999999994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59">
        <f>SUM(T42:Y42)</f>
        <v>83674.399999999994</v>
      </c>
      <c r="AB42" s="58">
        <v>2018</v>
      </c>
      <c r="AC42" s="123"/>
      <c r="AD42" s="102"/>
      <c r="AE42" s="102"/>
    </row>
    <row r="43" spans="1:31" x14ac:dyDescent="0.25">
      <c r="A43" s="54" t="s">
        <v>18</v>
      </c>
      <c r="B43" s="54" t="s">
        <v>19</v>
      </c>
      <c r="C43" s="54" t="s">
        <v>20</v>
      </c>
      <c r="D43" s="54" t="s">
        <v>18</v>
      </c>
      <c r="E43" s="54" t="s">
        <v>21</v>
      </c>
      <c r="F43" s="54" t="s">
        <v>18</v>
      </c>
      <c r="G43" s="54" t="s">
        <v>22</v>
      </c>
      <c r="H43" s="54" t="s">
        <v>19</v>
      </c>
      <c r="I43" s="54" t="s">
        <v>24</v>
      </c>
      <c r="J43" s="54" t="s">
        <v>18</v>
      </c>
      <c r="K43" s="54" t="s">
        <v>18</v>
      </c>
      <c r="L43" s="54" t="s">
        <v>19</v>
      </c>
      <c r="M43" s="54" t="s">
        <v>43</v>
      </c>
      <c r="N43" s="54" t="s">
        <v>43</v>
      </c>
      <c r="O43" s="54" t="s">
        <v>43</v>
      </c>
      <c r="P43" s="54" t="s">
        <v>43</v>
      </c>
      <c r="Q43" s="54" t="s">
        <v>43</v>
      </c>
      <c r="R43" s="153"/>
      <c r="S43" s="55" t="s">
        <v>0</v>
      </c>
      <c r="T43" s="1">
        <f>2298.3-43.1-12-538+10</f>
        <v>1715.2000000000003</v>
      </c>
      <c r="U43" s="1">
        <f>840+131.2-50</f>
        <v>921.2</v>
      </c>
      <c r="V43" s="1">
        <f>150+100+100</f>
        <v>350</v>
      </c>
      <c r="W43" s="1">
        <v>2477.4</v>
      </c>
      <c r="X43" s="1">
        <v>0</v>
      </c>
      <c r="Y43" s="1">
        <v>0</v>
      </c>
      <c r="Z43" s="1">
        <v>0</v>
      </c>
      <c r="AA43" s="59">
        <f>T43+U43+V43+W43+X43+Y43</f>
        <v>5463.8000000000011</v>
      </c>
      <c r="AB43" s="58">
        <v>2018</v>
      </c>
      <c r="AC43" s="123"/>
      <c r="AD43" s="104"/>
      <c r="AE43" s="104"/>
    </row>
    <row r="44" spans="1:31" s="72" customFormat="1" ht="31.9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61" t="s">
        <v>74</v>
      </c>
      <c r="S44" s="62" t="s">
        <v>38</v>
      </c>
      <c r="T44" s="2">
        <v>5</v>
      </c>
      <c r="U44" s="44">
        <v>0</v>
      </c>
      <c r="V44" s="44">
        <v>0</v>
      </c>
      <c r="W44" s="44">
        <v>1</v>
      </c>
      <c r="X44" s="44">
        <v>0</v>
      </c>
      <c r="Y44" s="44">
        <v>0</v>
      </c>
      <c r="Z44" s="44">
        <v>0</v>
      </c>
      <c r="AA44" s="49">
        <f>T44</f>
        <v>5</v>
      </c>
      <c r="AB44" s="73">
        <v>2018</v>
      </c>
      <c r="AC44" s="33"/>
      <c r="AD44" s="96"/>
      <c r="AE44" s="96"/>
    </row>
    <row r="45" spans="1:31" s="72" customFormat="1" ht="32.450000000000003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61" t="s">
        <v>75</v>
      </c>
      <c r="S45" s="62" t="s">
        <v>52</v>
      </c>
      <c r="T45" s="3">
        <v>89.6</v>
      </c>
      <c r="U45" s="3">
        <v>0</v>
      </c>
      <c r="V45" s="3">
        <v>0</v>
      </c>
      <c r="W45" s="3">
        <v>0.2</v>
      </c>
      <c r="X45" s="3">
        <v>0</v>
      </c>
      <c r="Y45" s="3">
        <v>0</v>
      </c>
      <c r="Z45" s="3">
        <v>0</v>
      </c>
      <c r="AA45" s="6">
        <f>T45</f>
        <v>89.6</v>
      </c>
      <c r="AB45" s="73">
        <v>2018</v>
      </c>
      <c r="AC45" s="33"/>
      <c r="AD45" s="96"/>
      <c r="AE45" s="96"/>
    </row>
    <row r="46" spans="1:31" s="72" customFormat="1" ht="47.25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61" t="s">
        <v>364</v>
      </c>
      <c r="S46" s="62" t="s">
        <v>38</v>
      </c>
      <c r="T46" s="44">
        <v>8</v>
      </c>
      <c r="U46" s="44">
        <v>5</v>
      </c>
      <c r="V46" s="44">
        <v>8</v>
      </c>
      <c r="W46" s="44">
        <v>0</v>
      </c>
      <c r="X46" s="44">
        <v>0</v>
      </c>
      <c r="Y46" s="44">
        <v>0</v>
      </c>
      <c r="Z46" s="44">
        <v>0</v>
      </c>
      <c r="AA46" s="49">
        <f>SUM(T46:Z46)</f>
        <v>21</v>
      </c>
      <c r="AB46" s="73">
        <v>2020</v>
      </c>
      <c r="AC46" s="33"/>
      <c r="AD46" s="96"/>
      <c r="AE46" s="96"/>
    </row>
    <row r="47" spans="1:31" ht="47.25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141" t="s">
        <v>76</v>
      </c>
      <c r="S47" s="55" t="s">
        <v>41</v>
      </c>
      <c r="T47" s="56">
        <v>0</v>
      </c>
      <c r="U47" s="56">
        <v>0</v>
      </c>
      <c r="V47" s="56">
        <v>0</v>
      </c>
      <c r="W47" s="56">
        <v>1</v>
      </c>
      <c r="X47" s="56">
        <v>1</v>
      </c>
      <c r="Y47" s="56">
        <v>1</v>
      </c>
      <c r="Z47" s="56">
        <v>1</v>
      </c>
      <c r="AA47" s="57">
        <v>1</v>
      </c>
      <c r="AB47" s="58">
        <v>2024</v>
      </c>
      <c r="AC47" s="33"/>
      <c r="AD47" s="104"/>
      <c r="AE47" s="104"/>
    </row>
    <row r="48" spans="1:31" s="51" customFormat="1" ht="31.5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40" t="s">
        <v>77</v>
      </c>
      <c r="S48" s="52" t="s">
        <v>38</v>
      </c>
      <c r="T48" s="44">
        <v>0</v>
      </c>
      <c r="U48" s="44">
        <v>0</v>
      </c>
      <c r="V48" s="44">
        <v>0</v>
      </c>
      <c r="W48" s="44">
        <v>1</v>
      </c>
      <c r="X48" s="44">
        <v>1</v>
      </c>
      <c r="Y48" s="44">
        <v>1</v>
      </c>
      <c r="Z48" s="44">
        <v>1</v>
      </c>
      <c r="AA48" s="45">
        <f>SUM(T48:Z48)</f>
        <v>4</v>
      </c>
      <c r="AB48" s="41">
        <v>2024</v>
      </c>
      <c r="AC48" s="33"/>
      <c r="AD48" s="50"/>
    </row>
    <row r="49" spans="1:34" ht="24.6" hidden="1" customHeight="1" x14ac:dyDescent="0.2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160" t="s">
        <v>78</v>
      </c>
      <c r="S49" s="63" t="s">
        <v>0</v>
      </c>
      <c r="T49" s="1"/>
      <c r="U49" s="1">
        <f t="shared" ref="U49:Z49" si="22">U51</f>
        <v>0</v>
      </c>
      <c r="V49" s="1">
        <f t="shared" si="22"/>
        <v>0</v>
      </c>
      <c r="W49" s="1">
        <f t="shared" si="22"/>
        <v>0</v>
      </c>
      <c r="X49" s="1">
        <f t="shared" si="22"/>
        <v>0</v>
      </c>
      <c r="Y49" s="1">
        <f t="shared" si="22"/>
        <v>0</v>
      </c>
      <c r="Z49" s="1">
        <f t="shared" si="22"/>
        <v>0</v>
      </c>
      <c r="AA49" s="59">
        <f>T49+U49+V49+W49+X49+Y49</f>
        <v>0</v>
      </c>
      <c r="AB49" s="58">
        <v>2018</v>
      </c>
    </row>
    <row r="50" spans="1:34" ht="22.15" hidden="1" customHeight="1" x14ac:dyDescent="0.25">
      <c r="A50" s="54" t="s">
        <v>18</v>
      </c>
      <c r="B50" s="54" t="s">
        <v>18</v>
      </c>
      <c r="C50" s="54" t="s">
        <v>23</v>
      </c>
      <c r="D50" s="54" t="s">
        <v>18</v>
      </c>
      <c r="E50" s="54" t="s">
        <v>21</v>
      </c>
      <c r="F50" s="54" t="s">
        <v>18</v>
      </c>
      <c r="G50" s="54" t="s">
        <v>22</v>
      </c>
      <c r="H50" s="54" t="s">
        <v>19</v>
      </c>
      <c r="I50" s="54" t="s">
        <v>24</v>
      </c>
      <c r="J50" s="54" t="s">
        <v>18</v>
      </c>
      <c r="K50" s="54" t="s">
        <v>18</v>
      </c>
      <c r="L50" s="54" t="s">
        <v>19</v>
      </c>
      <c r="M50" s="54" t="s">
        <v>18</v>
      </c>
      <c r="N50" s="54" t="s">
        <v>18</v>
      </c>
      <c r="O50" s="54" t="s">
        <v>18</v>
      </c>
      <c r="P50" s="54" t="s">
        <v>18</v>
      </c>
      <c r="Q50" s="54" t="s">
        <v>18</v>
      </c>
      <c r="R50" s="161"/>
      <c r="S50" s="55" t="s">
        <v>0</v>
      </c>
      <c r="T50" s="1"/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59">
        <f>T50+U50+V50+W50+X50+Y50</f>
        <v>0</v>
      </c>
      <c r="AB50" s="58">
        <v>2018</v>
      </c>
    </row>
    <row r="51" spans="1:34" ht="20.45" hidden="1" customHeight="1" x14ac:dyDescent="0.25">
      <c r="A51" s="54" t="s">
        <v>18</v>
      </c>
      <c r="B51" s="54" t="s">
        <v>18</v>
      </c>
      <c r="C51" s="54" t="s">
        <v>23</v>
      </c>
      <c r="D51" s="54" t="s">
        <v>18</v>
      </c>
      <c r="E51" s="54" t="s">
        <v>21</v>
      </c>
      <c r="F51" s="54" t="s">
        <v>18</v>
      </c>
      <c r="G51" s="54" t="s">
        <v>22</v>
      </c>
      <c r="H51" s="54" t="s">
        <v>19</v>
      </c>
      <c r="I51" s="54" t="s">
        <v>24</v>
      </c>
      <c r="J51" s="54" t="s">
        <v>18</v>
      </c>
      <c r="K51" s="54" t="s">
        <v>18</v>
      </c>
      <c r="L51" s="54" t="s">
        <v>19</v>
      </c>
      <c r="M51" s="54" t="s">
        <v>19</v>
      </c>
      <c r="N51" s="54" t="s">
        <v>18</v>
      </c>
      <c r="O51" s="54" t="s">
        <v>23</v>
      </c>
      <c r="P51" s="54" t="s">
        <v>19</v>
      </c>
      <c r="Q51" s="54" t="s">
        <v>45</v>
      </c>
      <c r="R51" s="161"/>
      <c r="S51" s="63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59">
        <f>T51+U51+V51+W51+X51+Y51</f>
        <v>0</v>
      </c>
      <c r="AB51" s="58">
        <v>2018</v>
      </c>
    </row>
    <row r="52" spans="1:34" ht="21" hidden="1" customHeight="1" x14ac:dyDescent="0.25">
      <c r="A52" s="54" t="s">
        <v>18</v>
      </c>
      <c r="B52" s="54" t="s">
        <v>18</v>
      </c>
      <c r="C52" s="54" t="s">
        <v>23</v>
      </c>
      <c r="D52" s="54" t="s">
        <v>18</v>
      </c>
      <c r="E52" s="54" t="s">
        <v>21</v>
      </c>
      <c r="F52" s="54" t="s">
        <v>18</v>
      </c>
      <c r="G52" s="54" t="s">
        <v>22</v>
      </c>
      <c r="H52" s="54" t="s">
        <v>19</v>
      </c>
      <c r="I52" s="54" t="s">
        <v>24</v>
      </c>
      <c r="J52" s="54" t="s">
        <v>18</v>
      </c>
      <c r="K52" s="54" t="s">
        <v>18</v>
      </c>
      <c r="L52" s="54" t="s">
        <v>19</v>
      </c>
      <c r="M52" s="54" t="s">
        <v>37</v>
      </c>
      <c r="N52" s="54" t="s">
        <v>18</v>
      </c>
      <c r="O52" s="54" t="s">
        <v>23</v>
      </c>
      <c r="P52" s="54" t="s">
        <v>19</v>
      </c>
      <c r="Q52" s="54" t="s">
        <v>47</v>
      </c>
      <c r="R52" s="161"/>
      <c r="S52" s="63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59">
        <f>T52+U52+V52+W52+X52+Y52</f>
        <v>0</v>
      </c>
      <c r="AB52" s="57">
        <v>2018</v>
      </c>
    </row>
    <row r="53" spans="1:34" ht="36" hidden="1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40" t="s">
        <v>79</v>
      </c>
      <c r="S53" s="41" t="s">
        <v>50</v>
      </c>
      <c r="T53" s="44"/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9"/>
      <c r="AB53" s="2">
        <v>2018</v>
      </c>
      <c r="AD53" s="104"/>
      <c r="AE53" s="104"/>
    </row>
    <row r="54" spans="1:34" ht="41.45" hidden="1" customHeight="1" x14ac:dyDescent="0.25">
      <c r="A54" s="34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64" t="s">
        <v>80</v>
      </c>
      <c r="S54" s="65" t="s">
        <v>9</v>
      </c>
      <c r="T54" s="66">
        <v>100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67">
        <v>100</v>
      </c>
      <c r="AB54" s="23">
        <v>2023</v>
      </c>
      <c r="AC54" s="115"/>
      <c r="AD54" s="102"/>
    </row>
    <row r="55" spans="1:34" ht="31.5" x14ac:dyDescent="0.25">
      <c r="A55" s="54"/>
      <c r="B55" s="54"/>
      <c r="C55" s="54"/>
      <c r="D55" s="54" t="s">
        <v>18</v>
      </c>
      <c r="E55" s="54" t="s">
        <v>21</v>
      </c>
      <c r="F55" s="54" t="s">
        <v>18</v>
      </c>
      <c r="G55" s="54" t="s">
        <v>22</v>
      </c>
      <c r="H55" s="54" t="s">
        <v>19</v>
      </c>
      <c r="I55" s="54" t="s">
        <v>24</v>
      </c>
      <c r="J55" s="54" t="s">
        <v>18</v>
      </c>
      <c r="K55" s="54" t="s">
        <v>18</v>
      </c>
      <c r="L55" s="54" t="s">
        <v>19</v>
      </c>
      <c r="M55" s="54" t="s">
        <v>43</v>
      </c>
      <c r="N55" s="54" t="s">
        <v>43</v>
      </c>
      <c r="O55" s="54" t="s">
        <v>43</v>
      </c>
      <c r="P55" s="54" t="s">
        <v>43</v>
      </c>
      <c r="Q55" s="54" t="s">
        <v>43</v>
      </c>
      <c r="R55" s="68" t="s">
        <v>81</v>
      </c>
      <c r="S55" s="58" t="s">
        <v>0</v>
      </c>
      <c r="T55" s="59">
        <f t="shared" ref="T55:Y55" si="23">T57+T59+T64+T61</f>
        <v>5077.4000000000005</v>
      </c>
      <c r="U55" s="59">
        <f t="shared" si="23"/>
        <v>2855.4</v>
      </c>
      <c r="V55" s="59">
        <f t="shared" si="23"/>
        <v>2623.8999999999996</v>
      </c>
      <c r="W55" s="59">
        <f t="shared" si="23"/>
        <v>3600</v>
      </c>
      <c r="X55" s="59">
        <f t="shared" si="23"/>
        <v>3600</v>
      </c>
      <c r="Y55" s="59">
        <f t="shared" si="23"/>
        <v>3600</v>
      </c>
      <c r="Z55" s="59">
        <f t="shared" ref="Z55" si="24">Z57+Z59+Z64+Z61</f>
        <v>3600</v>
      </c>
      <c r="AA55" s="59">
        <f>SUM(T55:Z55)</f>
        <v>24956.7</v>
      </c>
      <c r="AB55" s="58">
        <v>2024</v>
      </c>
      <c r="AC55" s="120"/>
    </row>
    <row r="56" spans="1:34" ht="31.5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61" t="s">
        <v>82</v>
      </c>
      <c r="S56" s="142" t="s">
        <v>38</v>
      </c>
      <c r="T56" s="2">
        <f t="shared" ref="T56:Y56" si="25">T58+T60+T62+T65</f>
        <v>10</v>
      </c>
      <c r="U56" s="2">
        <f t="shared" si="25"/>
        <v>10</v>
      </c>
      <c r="V56" s="2">
        <f t="shared" si="25"/>
        <v>9</v>
      </c>
      <c r="W56" s="2">
        <f t="shared" si="25"/>
        <v>9</v>
      </c>
      <c r="X56" s="2">
        <f t="shared" si="25"/>
        <v>9</v>
      </c>
      <c r="Y56" s="2">
        <f t="shared" si="25"/>
        <v>9</v>
      </c>
      <c r="Z56" s="2">
        <f t="shared" ref="Z56" si="26">Z58+Z60+Z62+Z65</f>
        <v>9</v>
      </c>
      <c r="AA56" s="49">
        <v>9</v>
      </c>
      <c r="AB56" s="41">
        <v>2024</v>
      </c>
      <c r="AC56" s="126"/>
      <c r="AD56" s="105"/>
      <c r="AE56" s="116"/>
      <c r="AF56" s="106"/>
      <c r="AG56" s="116"/>
      <c r="AH56" s="106"/>
    </row>
    <row r="57" spans="1:34" s="72" customFormat="1" ht="31.5" x14ac:dyDescent="0.25">
      <c r="A57" s="54" t="s">
        <v>18</v>
      </c>
      <c r="B57" s="54" t="s">
        <v>18</v>
      </c>
      <c r="C57" s="54" t="s">
        <v>22</v>
      </c>
      <c r="D57" s="54" t="s">
        <v>18</v>
      </c>
      <c r="E57" s="54" t="s">
        <v>21</v>
      </c>
      <c r="F57" s="54" t="s">
        <v>18</v>
      </c>
      <c r="G57" s="54" t="s">
        <v>22</v>
      </c>
      <c r="H57" s="54" t="s">
        <v>19</v>
      </c>
      <c r="I57" s="54" t="s">
        <v>24</v>
      </c>
      <c r="J57" s="54" t="s">
        <v>18</v>
      </c>
      <c r="K57" s="54" t="s">
        <v>18</v>
      </c>
      <c r="L57" s="54" t="s">
        <v>19</v>
      </c>
      <c r="M57" s="54" t="s">
        <v>43</v>
      </c>
      <c r="N57" s="54" t="s">
        <v>43</v>
      </c>
      <c r="O57" s="54" t="s">
        <v>43</v>
      </c>
      <c r="P57" s="54" t="s">
        <v>43</v>
      </c>
      <c r="Q57" s="54" t="s">
        <v>43</v>
      </c>
      <c r="R57" s="69" t="s">
        <v>83</v>
      </c>
      <c r="S57" s="55" t="s">
        <v>0</v>
      </c>
      <c r="T57" s="1">
        <f>1417.5-141.8-26.5</f>
        <v>1249.2</v>
      </c>
      <c r="U57" s="1">
        <f>1000-88.8-46.3</f>
        <v>864.90000000000009</v>
      </c>
      <c r="V57" s="1">
        <f>1000-374-115</f>
        <v>511</v>
      </c>
      <c r="W57" s="1">
        <v>1000</v>
      </c>
      <c r="X57" s="1">
        <v>1000</v>
      </c>
      <c r="Y57" s="1">
        <v>1000</v>
      </c>
      <c r="Z57" s="1">
        <v>1000</v>
      </c>
      <c r="AA57" s="59">
        <f>SUM(T57:Z57)</f>
        <v>6625.1</v>
      </c>
      <c r="AB57" s="58">
        <v>2024</v>
      </c>
      <c r="AC57" s="118"/>
      <c r="AD57" s="71"/>
      <c r="AE57" s="71"/>
    </row>
    <row r="58" spans="1:34" s="51" customFormat="1" ht="47.25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48" t="s">
        <v>84</v>
      </c>
      <c r="S58" s="41" t="s">
        <v>38</v>
      </c>
      <c r="T58" s="2">
        <v>3</v>
      </c>
      <c r="U58" s="2">
        <v>3</v>
      </c>
      <c r="V58" s="2">
        <v>2</v>
      </c>
      <c r="W58" s="2">
        <v>2</v>
      </c>
      <c r="X58" s="2">
        <v>2</v>
      </c>
      <c r="Y58" s="2">
        <v>2</v>
      </c>
      <c r="Z58" s="2">
        <v>2</v>
      </c>
      <c r="AA58" s="45">
        <v>2</v>
      </c>
      <c r="AB58" s="41">
        <v>2024</v>
      </c>
      <c r="AC58" s="126"/>
      <c r="AD58" s="105"/>
      <c r="AE58" s="105"/>
    </row>
    <row r="59" spans="1:34" s="72" customFormat="1" ht="31.5" x14ac:dyDescent="0.25">
      <c r="A59" s="54" t="s">
        <v>18</v>
      </c>
      <c r="B59" s="54" t="s">
        <v>18</v>
      </c>
      <c r="C59" s="54" t="s">
        <v>24</v>
      </c>
      <c r="D59" s="54" t="s">
        <v>18</v>
      </c>
      <c r="E59" s="54" t="s">
        <v>21</v>
      </c>
      <c r="F59" s="54" t="s">
        <v>18</v>
      </c>
      <c r="G59" s="54" t="s">
        <v>22</v>
      </c>
      <c r="H59" s="54" t="s">
        <v>19</v>
      </c>
      <c r="I59" s="54" t="s">
        <v>24</v>
      </c>
      <c r="J59" s="54" t="s">
        <v>18</v>
      </c>
      <c r="K59" s="54" t="s">
        <v>18</v>
      </c>
      <c r="L59" s="54" t="s">
        <v>19</v>
      </c>
      <c r="M59" s="54" t="s">
        <v>43</v>
      </c>
      <c r="N59" s="54" t="s">
        <v>43</v>
      </c>
      <c r="O59" s="54" t="s">
        <v>43</v>
      </c>
      <c r="P59" s="54" t="s">
        <v>43</v>
      </c>
      <c r="Q59" s="54" t="s">
        <v>43</v>
      </c>
      <c r="R59" s="69" t="s">
        <v>85</v>
      </c>
      <c r="S59" s="55" t="s">
        <v>0</v>
      </c>
      <c r="T59" s="1">
        <f>1115-77.4</f>
        <v>1037.5999999999999</v>
      </c>
      <c r="U59" s="1">
        <f>1100-208-27.6</f>
        <v>864.4</v>
      </c>
      <c r="V59" s="1">
        <f>1100-205.4</f>
        <v>894.6</v>
      </c>
      <c r="W59" s="1">
        <v>1100</v>
      </c>
      <c r="X59" s="1">
        <v>1100</v>
      </c>
      <c r="Y59" s="1">
        <v>1100</v>
      </c>
      <c r="Z59" s="1">
        <v>1100</v>
      </c>
      <c r="AA59" s="59">
        <f>SUM(T59:Z59)</f>
        <v>7196.6</v>
      </c>
      <c r="AB59" s="58">
        <v>2024</v>
      </c>
      <c r="AC59" s="33"/>
      <c r="AD59" s="71"/>
      <c r="AE59" s="71"/>
    </row>
    <row r="60" spans="1:34" s="51" customFormat="1" ht="47.25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48" t="s">
        <v>86</v>
      </c>
      <c r="S60" s="41" t="s">
        <v>38</v>
      </c>
      <c r="T60" s="44">
        <v>4</v>
      </c>
      <c r="U60" s="44">
        <v>4</v>
      </c>
      <c r="V60" s="44">
        <v>4</v>
      </c>
      <c r="W60" s="44">
        <v>4</v>
      </c>
      <c r="X60" s="44">
        <v>4</v>
      </c>
      <c r="Y60" s="44">
        <v>4</v>
      </c>
      <c r="Z60" s="44">
        <v>4</v>
      </c>
      <c r="AA60" s="49">
        <v>4</v>
      </c>
      <c r="AB60" s="41">
        <v>2024</v>
      </c>
      <c r="AC60" s="127"/>
      <c r="AD60" s="113"/>
      <c r="AE60" s="107"/>
    </row>
    <row r="61" spans="1:34" s="72" customFormat="1" ht="31.5" x14ac:dyDescent="0.25">
      <c r="A61" s="54" t="s">
        <v>18</v>
      </c>
      <c r="B61" s="54" t="s">
        <v>18</v>
      </c>
      <c r="C61" s="54" t="s">
        <v>21</v>
      </c>
      <c r="D61" s="54" t="s">
        <v>18</v>
      </c>
      <c r="E61" s="54" t="s">
        <v>21</v>
      </c>
      <c r="F61" s="54" t="s">
        <v>18</v>
      </c>
      <c r="G61" s="54" t="s">
        <v>22</v>
      </c>
      <c r="H61" s="54" t="s">
        <v>19</v>
      </c>
      <c r="I61" s="54" t="s">
        <v>24</v>
      </c>
      <c r="J61" s="54" t="s">
        <v>18</v>
      </c>
      <c r="K61" s="54" t="s">
        <v>18</v>
      </c>
      <c r="L61" s="54" t="s">
        <v>19</v>
      </c>
      <c r="M61" s="54" t="s">
        <v>43</v>
      </c>
      <c r="N61" s="54" t="s">
        <v>43</v>
      </c>
      <c r="O61" s="54" t="s">
        <v>43</v>
      </c>
      <c r="P61" s="54" t="s">
        <v>43</v>
      </c>
      <c r="Q61" s="54" t="s">
        <v>43</v>
      </c>
      <c r="R61" s="69" t="s">
        <v>85</v>
      </c>
      <c r="S61" s="55" t="s">
        <v>0</v>
      </c>
      <c r="T61" s="1">
        <f>962.3-96.3-88.8</f>
        <v>777.2</v>
      </c>
      <c r="U61" s="1">
        <f>800-392-1.6</f>
        <v>406.4</v>
      </c>
      <c r="V61" s="1">
        <f>800-126</f>
        <v>674</v>
      </c>
      <c r="W61" s="1">
        <v>800</v>
      </c>
      <c r="X61" s="1">
        <v>800</v>
      </c>
      <c r="Y61" s="1">
        <v>800</v>
      </c>
      <c r="Z61" s="1">
        <v>800</v>
      </c>
      <c r="AA61" s="59">
        <f>SUM(T61:Z61)</f>
        <v>5057.6000000000004</v>
      </c>
      <c r="AB61" s="58">
        <v>2024</v>
      </c>
      <c r="AC61" s="120"/>
    </row>
    <row r="62" spans="1:34" s="72" customFormat="1" ht="48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48" t="s">
        <v>87</v>
      </c>
      <c r="S62" s="41" t="s">
        <v>38</v>
      </c>
      <c r="T62" s="44">
        <v>2</v>
      </c>
      <c r="U62" s="44">
        <v>2</v>
      </c>
      <c r="V62" s="44">
        <v>2</v>
      </c>
      <c r="W62" s="44">
        <v>2</v>
      </c>
      <c r="X62" s="44">
        <v>2</v>
      </c>
      <c r="Y62" s="44">
        <v>2</v>
      </c>
      <c r="Z62" s="44">
        <v>2</v>
      </c>
      <c r="AA62" s="49">
        <v>2</v>
      </c>
      <c r="AB62" s="41">
        <v>2024</v>
      </c>
      <c r="AC62" s="33"/>
    </row>
    <row r="63" spans="1:34" s="51" customFormat="1" ht="47.25" hidden="1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64" t="s">
        <v>88</v>
      </c>
      <c r="S63" s="65" t="s">
        <v>8</v>
      </c>
      <c r="T63" s="66">
        <v>0</v>
      </c>
      <c r="U63" s="66">
        <v>0</v>
      </c>
      <c r="V63" s="66">
        <v>0</v>
      </c>
      <c r="W63" s="66">
        <v>0</v>
      </c>
      <c r="X63" s="66">
        <v>0</v>
      </c>
      <c r="Y63" s="66">
        <v>0</v>
      </c>
      <c r="Z63" s="66">
        <v>0</v>
      </c>
      <c r="AA63" s="67">
        <f>T63+U63+V63+W63+X63+Y63</f>
        <v>0</v>
      </c>
      <c r="AB63" s="23">
        <v>2023</v>
      </c>
      <c r="AC63" s="127"/>
      <c r="AD63" s="102"/>
      <c r="AE63" s="105"/>
    </row>
    <row r="64" spans="1:34" s="72" customFormat="1" ht="31.5" x14ac:dyDescent="0.25">
      <c r="A64" s="54" t="s">
        <v>18</v>
      </c>
      <c r="B64" s="54" t="s">
        <v>18</v>
      </c>
      <c r="C64" s="54" t="s">
        <v>25</v>
      </c>
      <c r="D64" s="54" t="s">
        <v>18</v>
      </c>
      <c r="E64" s="54" t="s">
        <v>21</v>
      </c>
      <c r="F64" s="54" t="s">
        <v>18</v>
      </c>
      <c r="G64" s="54" t="s">
        <v>22</v>
      </c>
      <c r="H64" s="54" t="s">
        <v>19</v>
      </c>
      <c r="I64" s="54" t="s">
        <v>24</v>
      </c>
      <c r="J64" s="54" t="s">
        <v>18</v>
      </c>
      <c r="K64" s="54" t="s">
        <v>18</v>
      </c>
      <c r="L64" s="54" t="s">
        <v>19</v>
      </c>
      <c r="M64" s="54" t="s">
        <v>43</v>
      </c>
      <c r="N64" s="54" t="s">
        <v>43</v>
      </c>
      <c r="O64" s="54" t="s">
        <v>43</v>
      </c>
      <c r="P64" s="54" t="s">
        <v>43</v>
      </c>
      <c r="Q64" s="54" t="s">
        <v>43</v>
      </c>
      <c r="R64" s="69" t="s">
        <v>89</v>
      </c>
      <c r="S64" s="55" t="s">
        <v>0</v>
      </c>
      <c r="T64" s="1">
        <f>646.8+300+1489-55+86.2-453.6</f>
        <v>2013.4</v>
      </c>
      <c r="U64" s="1">
        <f>600+369.3+0.6+20-270.2</f>
        <v>719.7</v>
      </c>
      <c r="V64" s="1">
        <f>600-42.7-13</f>
        <v>544.29999999999995</v>
      </c>
      <c r="W64" s="1">
        <f>600+100</f>
        <v>700</v>
      </c>
      <c r="X64" s="1">
        <f t="shared" ref="X64:Z64" si="27">600+100</f>
        <v>700</v>
      </c>
      <c r="Y64" s="1">
        <f t="shared" si="27"/>
        <v>700</v>
      </c>
      <c r="Z64" s="1">
        <f t="shared" si="27"/>
        <v>700</v>
      </c>
      <c r="AA64" s="59">
        <f>SUM(T64:Z64)</f>
        <v>6077.4000000000005</v>
      </c>
      <c r="AB64" s="58">
        <v>2024</v>
      </c>
      <c r="AC64" s="120"/>
    </row>
    <row r="65" spans="1:34" s="72" customFormat="1" ht="47.25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48" t="s">
        <v>90</v>
      </c>
      <c r="S65" s="41" t="s">
        <v>38</v>
      </c>
      <c r="T65" s="44">
        <v>1</v>
      </c>
      <c r="U65" s="44">
        <v>1</v>
      </c>
      <c r="V65" s="44">
        <v>1</v>
      </c>
      <c r="W65" s="44">
        <v>1</v>
      </c>
      <c r="X65" s="44">
        <v>1</v>
      </c>
      <c r="Y65" s="44">
        <v>1</v>
      </c>
      <c r="Z65" s="44">
        <v>1</v>
      </c>
      <c r="AA65" s="49">
        <v>1</v>
      </c>
      <c r="AB65" s="41">
        <v>2024</v>
      </c>
      <c r="AC65" s="33"/>
    </row>
    <row r="66" spans="1:34" s="72" customFormat="1" ht="31.5" x14ac:dyDescent="0.25">
      <c r="A66" s="54"/>
      <c r="B66" s="54"/>
      <c r="C66" s="54"/>
      <c r="D66" s="54" t="s">
        <v>18</v>
      </c>
      <c r="E66" s="54" t="s">
        <v>21</v>
      </c>
      <c r="F66" s="54" t="s">
        <v>18</v>
      </c>
      <c r="G66" s="54" t="s">
        <v>22</v>
      </c>
      <c r="H66" s="54" t="s">
        <v>19</v>
      </c>
      <c r="I66" s="54" t="s">
        <v>24</v>
      </c>
      <c r="J66" s="54" t="s">
        <v>18</v>
      </c>
      <c r="K66" s="54" t="s">
        <v>18</v>
      </c>
      <c r="L66" s="54" t="s">
        <v>19</v>
      </c>
      <c r="M66" s="54" t="s">
        <v>18</v>
      </c>
      <c r="N66" s="54" t="s">
        <v>18</v>
      </c>
      <c r="O66" s="54" t="s">
        <v>18</v>
      </c>
      <c r="P66" s="54" t="s">
        <v>18</v>
      </c>
      <c r="Q66" s="54" t="s">
        <v>18</v>
      </c>
      <c r="R66" s="68" t="s">
        <v>91</v>
      </c>
      <c r="S66" s="58" t="s">
        <v>0</v>
      </c>
      <c r="T66" s="59">
        <f t="shared" ref="T66:Y66" si="28">T68+T70+T77</f>
        <v>3922.5999999999995</v>
      </c>
      <c r="U66" s="59">
        <f t="shared" si="28"/>
        <v>4901.3</v>
      </c>
      <c r="V66" s="59">
        <f>V68+V70+V77</f>
        <v>5627.7999999999993</v>
      </c>
      <c r="W66" s="59">
        <f t="shared" si="28"/>
        <v>3045.3</v>
      </c>
      <c r="X66" s="59">
        <f t="shared" si="28"/>
        <v>3045.3</v>
      </c>
      <c r="Y66" s="59">
        <f t="shared" si="28"/>
        <v>3045.3</v>
      </c>
      <c r="Z66" s="59">
        <f t="shared" ref="Z66" si="29">Z68+Z70+Z77</f>
        <v>3045.3</v>
      </c>
      <c r="AA66" s="59">
        <f>SUM(T66:Z66)</f>
        <v>26632.899999999998</v>
      </c>
      <c r="AB66" s="58">
        <v>2024</v>
      </c>
      <c r="AC66" s="120"/>
    </row>
    <row r="67" spans="1:34" s="51" customFormat="1" ht="31.1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61" t="s">
        <v>92</v>
      </c>
      <c r="S67" s="142" t="s">
        <v>38</v>
      </c>
      <c r="T67" s="2">
        <f t="shared" ref="T67:Y67" si="30">T69+T76+T81</f>
        <v>20</v>
      </c>
      <c r="U67" s="2">
        <f t="shared" si="30"/>
        <v>20</v>
      </c>
      <c r="V67" s="2">
        <f t="shared" si="30"/>
        <v>20</v>
      </c>
      <c r="W67" s="2">
        <f t="shared" si="30"/>
        <v>20</v>
      </c>
      <c r="X67" s="2">
        <f t="shared" si="30"/>
        <v>20</v>
      </c>
      <c r="Y67" s="2">
        <f t="shared" si="30"/>
        <v>20</v>
      </c>
      <c r="Z67" s="2">
        <f t="shared" ref="Z67" si="31">Z69+Z76+Z81</f>
        <v>20</v>
      </c>
      <c r="AA67" s="49">
        <v>20</v>
      </c>
      <c r="AB67" s="41">
        <v>2024</v>
      </c>
      <c r="AC67" s="33"/>
    </row>
    <row r="68" spans="1:34" s="72" customFormat="1" ht="31.5" x14ac:dyDescent="0.25">
      <c r="A68" s="54" t="s">
        <v>18</v>
      </c>
      <c r="B68" s="54" t="s">
        <v>18</v>
      </c>
      <c r="C68" s="54" t="s">
        <v>22</v>
      </c>
      <c r="D68" s="54" t="s">
        <v>18</v>
      </c>
      <c r="E68" s="54" t="s">
        <v>21</v>
      </c>
      <c r="F68" s="54" t="s">
        <v>18</v>
      </c>
      <c r="G68" s="54" t="s">
        <v>22</v>
      </c>
      <c r="H68" s="54" t="s">
        <v>19</v>
      </c>
      <c r="I68" s="54" t="s">
        <v>24</v>
      </c>
      <c r="J68" s="54" t="s">
        <v>18</v>
      </c>
      <c r="K68" s="54" t="s">
        <v>18</v>
      </c>
      <c r="L68" s="54" t="s">
        <v>19</v>
      </c>
      <c r="M68" s="54" t="s">
        <v>43</v>
      </c>
      <c r="N68" s="54" t="s">
        <v>43</v>
      </c>
      <c r="O68" s="54" t="s">
        <v>43</v>
      </c>
      <c r="P68" s="54" t="s">
        <v>43</v>
      </c>
      <c r="Q68" s="54" t="s">
        <v>43</v>
      </c>
      <c r="R68" s="69" t="s">
        <v>93</v>
      </c>
      <c r="S68" s="55" t="s">
        <v>0</v>
      </c>
      <c r="T68" s="1">
        <f>2867.4-463.9-79-1000</f>
        <v>1324.5</v>
      </c>
      <c r="U68" s="1">
        <f>1867.4-227.9-273.9-31.9</f>
        <v>1333.6999999999998</v>
      </c>
      <c r="V68" s="1">
        <f>1867.4-1012.3</f>
        <v>855.10000000000014</v>
      </c>
      <c r="W68" s="1">
        <v>619.5</v>
      </c>
      <c r="X68" s="1">
        <v>619.5</v>
      </c>
      <c r="Y68" s="1">
        <v>619.5</v>
      </c>
      <c r="Z68" s="1">
        <v>619.5</v>
      </c>
      <c r="AA68" s="59">
        <f>SUM(T68:Z68)</f>
        <v>5991.3</v>
      </c>
      <c r="AB68" s="58">
        <v>2024</v>
      </c>
      <c r="AC68" s="119"/>
      <c r="AD68" s="109"/>
      <c r="AE68" s="109"/>
      <c r="AG68" s="110"/>
      <c r="AH68" s="109"/>
    </row>
    <row r="69" spans="1:34" s="51" customFormat="1" ht="47.25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48" t="s">
        <v>94</v>
      </c>
      <c r="S69" s="41" t="s">
        <v>38</v>
      </c>
      <c r="T69" s="2">
        <v>14</v>
      </c>
      <c r="U69" s="2">
        <v>14</v>
      </c>
      <c r="V69" s="2">
        <v>14</v>
      </c>
      <c r="W69" s="2">
        <v>14</v>
      </c>
      <c r="X69" s="2">
        <v>14</v>
      </c>
      <c r="Y69" s="2">
        <v>14</v>
      </c>
      <c r="Z69" s="2">
        <v>14</v>
      </c>
      <c r="AA69" s="49">
        <v>14</v>
      </c>
      <c r="AB69" s="41">
        <v>2024</v>
      </c>
      <c r="AC69" s="33"/>
    </row>
    <row r="70" spans="1:34" s="72" customFormat="1" x14ac:dyDescent="0.25">
      <c r="A70" s="54" t="s">
        <v>18</v>
      </c>
      <c r="B70" s="54" t="s">
        <v>18</v>
      </c>
      <c r="C70" s="54" t="s">
        <v>24</v>
      </c>
      <c r="D70" s="54" t="s">
        <v>18</v>
      </c>
      <c r="E70" s="54" t="s">
        <v>21</v>
      </c>
      <c r="F70" s="54" t="s">
        <v>18</v>
      </c>
      <c r="G70" s="54" t="s">
        <v>22</v>
      </c>
      <c r="H70" s="54" t="s">
        <v>19</v>
      </c>
      <c r="I70" s="54" t="s">
        <v>24</v>
      </c>
      <c r="J70" s="54" t="s">
        <v>18</v>
      </c>
      <c r="K70" s="54" t="s">
        <v>18</v>
      </c>
      <c r="L70" s="54" t="s">
        <v>19</v>
      </c>
      <c r="M70" s="54" t="s">
        <v>18</v>
      </c>
      <c r="N70" s="54" t="s">
        <v>18</v>
      </c>
      <c r="O70" s="54" t="s">
        <v>18</v>
      </c>
      <c r="P70" s="54" t="s">
        <v>18</v>
      </c>
      <c r="Q70" s="54" t="s">
        <v>18</v>
      </c>
      <c r="R70" s="153" t="s">
        <v>93</v>
      </c>
      <c r="S70" s="55" t="s">
        <v>0</v>
      </c>
      <c r="T70" s="1">
        <f>SUM(T71:T75)</f>
        <v>501.8</v>
      </c>
      <c r="U70" s="1">
        <f t="shared" ref="U70:Z70" si="32">SUM(U71:U75)</f>
        <v>1483.3</v>
      </c>
      <c r="V70" s="1">
        <f t="shared" si="32"/>
        <v>1744.9</v>
      </c>
      <c r="W70" s="1">
        <f t="shared" si="32"/>
        <v>870.5</v>
      </c>
      <c r="X70" s="1">
        <f t="shared" si="32"/>
        <v>870.5</v>
      </c>
      <c r="Y70" s="1">
        <f t="shared" si="32"/>
        <v>870.5</v>
      </c>
      <c r="Z70" s="1">
        <f t="shared" si="32"/>
        <v>870.5</v>
      </c>
      <c r="AA70" s="59">
        <f>SUM(T70:Z70)</f>
        <v>7212</v>
      </c>
      <c r="AB70" s="58">
        <v>2024</v>
      </c>
      <c r="AC70" s="120"/>
    </row>
    <row r="71" spans="1:34" s="72" customFormat="1" x14ac:dyDescent="0.25">
      <c r="A71" s="54" t="s">
        <v>18</v>
      </c>
      <c r="B71" s="54" t="s">
        <v>18</v>
      </c>
      <c r="C71" s="54" t="s">
        <v>24</v>
      </c>
      <c r="D71" s="54" t="s">
        <v>18</v>
      </c>
      <c r="E71" s="54" t="s">
        <v>21</v>
      </c>
      <c r="F71" s="54" t="s">
        <v>18</v>
      </c>
      <c r="G71" s="54" t="s">
        <v>22</v>
      </c>
      <c r="H71" s="54" t="s">
        <v>19</v>
      </c>
      <c r="I71" s="54" t="s">
        <v>24</v>
      </c>
      <c r="J71" s="54" t="s">
        <v>18</v>
      </c>
      <c r="K71" s="54" t="s">
        <v>18</v>
      </c>
      <c r="L71" s="54" t="s">
        <v>19</v>
      </c>
      <c r="M71" s="54" t="s">
        <v>19</v>
      </c>
      <c r="N71" s="54" t="s">
        <v>18</v>
      </c>
      <c r="O71" s="54" t="s">
        <v>20</v>
      </c>
      <c r="P71" s="54" t="s">
        <v>177</v>
      </c>
      <c r="Q71" s="54" t="s">
        <v>18</v>
      </c>
      <c r="R71" s="153"/>
      <c r="S71" s="55" t="s">
        <v>0</v>
      </c>
      <c r="T71" s="1">
        <v>0</v>
      </c>
      <c r="U71" s="1">
        <v>685.2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59">
        <f t="shared" ref="AA71:AA75" si="33">SUM(T71:Z71)</f>
        <v>685.2</v>
      </c>
      <c r="AB71" s="58">
        <v>2019</v>
      </c>
      <c r="AC71" s="120"/>
    </row>
    <row r="72" spans="1:34" s="72" customFormat="1" x14ac:dyDescent="0.25">
      <c r="A72" s="54" t="s">
        <v>18</v>
      </c>
      <c r="B72" s="54" t="s">
        <v>18</v>
      </c>
      <c r="C72" s="54" t="s">
        <v>24</v>
      </c>
      <c r="D72" s="54" t="s">
        <v>18</v>
      </c>
      <c r="E72" s="54" t="s">
        <v>21</v>
      </c>
      <c r="F72" s="54" t="s">
        <v>18</v>
      </c>
      <c r="G72" s="54" t="s">
        <v>22</v>
      </c>
      <c r="H72" s="54" t="s">
        <v>19</v>
      </c>
      <c r="I72" s="54" t="s">
        <v>24</v>
      </c>
      <c r="J72" s="54" t="s">
        <v>18</v>
      </c>
      <c r="K72" s="54" t="s">
        <v>18</v>
      </c>
      <c r="L72" s="54" t="s">
        <v>19</v>
      </c>
      <c r="M72" s="54" t="s">
        <v>37</v>
      </c>
      <c r="N72" s="54" t="s">
        <v>18</v>
      </c>
      <c r="O72" s="54" t="s">
        <v>20</v>
      </c>
      <c r="P72" s="54" t="s">
        <v>177</v>
      </c>
      <c r="Q72" s="54" t="s">
        <v>18</v>
      </c>
      <c r="R72" s="153"/>
      <c r="S72" s="55" t="s">
        <v>0</v>
      </c>
      <c r="T72" s="1">
        <v>0</v>
      </c>
      <c r="U72" s="1">
        <f>685.2-212.4</f>
        <v>472.80000000000007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59">
        <f t="shared" si="33"/>
        <v>472.80000000000007</v>
      </c>
      <c r="AB72" s="58">
        <v>2019</v>
      </c>
      <c r="AC72" s="120"/>
    </row>
    <row r="73" spans="1:34" s="72" customFormat="1" x14ac:dyDescent="0.25">
      <c r="A73" s="54" t="s">
        <v>18</v>
      </c>
      <c r="B73" s="54" t="s">
        <v>18</v>
      </c>
      <c r="C73" s="54" t="s">
        <v>24</v>
      </c>
      <c r="D73" s="54" t="s">
        <v>18</v>
      </c>
      <c r="E73" s="54" t="s">
        <v>21</v>
      </c>
      <c r="F73" s="54" t="s">
        <v>18</v>
      </c>
      <c r="G73" s="54" t="s">
        <v>22</v>
      </c>
      <c r="H73" s="54" t="s">
        <v>19</v>
      </c>
      <c r="I73" s="54" t="s">
        <v>24</v>
      </c>
      <c r="J73" s="54" t="s">
        <v>18</v>
      </c>
      <c r="K73" s="54" t="s">
        <v>18</v>
      </c>
      <c r="L73" s="54" t="s">
        <v>19</v>
      </c>
      <c r="M73" s="54" t="s">
        <v>19</v>
      </c>
      <c r="N73" s="54" t="s">
        <v>18</v>
      </c>
      <c r="O73" s="54" t="s">
        <v>23</v>
      </c>
      <c r="P73" s="54" t="s">
        <v>19</v>
      </c>
      <c r="Q73" s="54" t="s">
        <v>19</v>
      </c>
      <c r="R73" s="153"/>
      <c r="S73" s="55" t="s">
        <v>0</v>
      </c>
      <c r="T73" s="1">
        <v>0</v>
      </c>
      <c r="U73" s="1">
        <v>0</v>
      </c>
      <c r="V73" s="1">
        <v>1100</v>
      </c>
      <c r="W73" s="1">
        <v>0</v>
      </c>
      <c r="X73" s="1">
        <v>0</v>
      </c>
      <c r="Y73" s="1">
        <v>0</v>
      </c>
      <c r="Z73" s="1">
        <v>0</v>
      </c>
      <c r="AA73" s="59">
        <f t="shared" si="33"/>
        <v>1100</v>
      </c>
      <c r="AB73" s="58">
        <v>2020</v>
      </c>
      <c r="AC73" s="120"/>
    </row>
    <row r="74" spans="1:34" s="72" customFormat="1" x14ac:dyDescent="0.25">
      <c r="A74" s="54" t="s">
        <v>18</v>
      </c>
      <c r="B74" s="54" t="s">
        <v>18</v>
      </c>
      <c r="C74" s="54" t="s">
        <v>24</v>
      </c>
      <c r="D74" s="54" t="s">
        <v>18</v>
      </c>
      <c r="E74" s="54" t="s">
        <v>21</v>
      </c>
      <c r="F74" s="54" t="s">
        <v>18</v>
      </c>
      <c r="G74" s="54" t="s">
        <v>22</v>
      </c>
      <c r="H74" s="54" t="s">
        <v>19</v>
      </c>
      <c r="I74" s="54" t="s">
        <v>24</v>
      </c>
      <c r="J74" s="54" t="s">
        <v>18</v>
      </c>
      <c r="K74" s="54" t="s">
        <v>18</v>
      </c>
      <c r="L74" s="54" t="s">
        <v>19</v>
      </c>
      <c r="M74" s="54" t="s">
        <v>37</v>
      </c>
      <c r="N74" s="54" t="s">
        <v>18</v>
      </c>
      <c r="O74" s="54" t="s">
        <v>23</v>
      </c>
      <c r="P74" s="54" t="s">
        <v>19</v>
      </c>
      <c r="Q74" s="54" t="s">
        <v>19</v>
      </c>
      <c r="R74" s="153"/>
      <c r="S74" s="55" t="s">
        <v>0</v>
      </c>
      <c r="T74" s="1">
        <v>0</v>
      </c>
      <c r="U74" s="1">
        <v>0</v>
      </c>
      <c r="V74" s="1">
        <f>149.5-11</f>
        <v>138.5</v>
      </c>
      <c r="W74" s="1">
        <v>0</v>
      </c>
      <c r="X74" s="1">
        <v>0</v>
      </c>
      <c r="Y74" s="1">
        <v>0</v>
      </c>
      <c r="Z74" s="1">
        <v>0</v>
      </c>
      <c r="AA74" s="59">
        <f t="shared" si="33"/>
        <v>138.5</v>
      </c>
      <c r="AB74" s="58">
        <v>2020</v>
      </c>
      <c r="AC74" s="120"/>
    </row>
    <row r="75" spans="1:34" s="72" customFormat="1" x14ac:dyDescent="0.25">
      <c r="A75" s="54" t="s">
        <v>18</v>
      </c>
      <c r="B75" s="54" t="s">
        <v>18</v>
      </c>
      <c r="C75" s="54" t="s">
        <v>24</v>
      </c>
      <c r="D75" s="54" t="s">
        <v>18</v>
      </c>
      <c r="E75" s="54" t="s">
        <v>21</v>
      </c>
      <c r="F75" s="54" t="s">
        <v>18</v>
      </c>
      <c r="G75" s="54" t="s">
        <v>22</v>
      </c>
      <c r="H75" s="54" t="s">
        <v>19</v>
      </c>
      <c r="I75" s="54" t="s">
        <v>24</v>
      </c>
      <c r="J75" s="54" t="s">
        <v>18</v>
      </c>
      <c r="K75" s="54" t="s">
        <v>18</v>
      </c>
      <c r="L75" s="54" t="s">
        <v>19</v>
      </c>
      <c r="M75" s="54" t="s">
        <v>43</v>
      </c>
      <c r="N75" s="54" t="s">
        <v>43</v>
      </c>
      <c r="O75" s="54" t="s">
        <v>43</v>
      </c>
      <c r="P75" s="54" t="s">
        <v>43</v>
      </c>
      <c r="Q75" s="54" t="s">
        <v>43</v>
      </c>
      <c r="R75" s="153"/>
      <c r="S75" s="55" t="s">
        <v>0</v>
      </c>
      <c r="T75" s="1">
        <v>501.8</v>
      </c>
      <c r="U75" s="1">
        <v>325.3</v>
      </c>
      <c r="V75" s="1">
        <f>870.5-149.5-214.6</f>
        <v>506.4</v>
      </c>
      <c r="W75" s="1">
        <v>870.5</v>
      </c>
      <c r="X75" s="1">
        <v>870.5</v>
      </c>
      <c r="Y75" s="1">
        <v>870.5</v>
      </c>
      <c r="Z75" s="1">
        <v>870.5</v>
      </c>
      <c r="AA75" s="59">
        <f t="shared" si="33"/>
        <v>4815.5</v>
      </c>
      <c r="AB75" s="58">
        <v>2024</v>
      </c>
      <c r="AC75" s="120"/>
    </row>
    <row r="76" spans="1:34" s="51" customFormat="1" ht="48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48" t="s">
        <v>95</v>
      </c>
      <c r="S76" s="41" t="s">
        <v>38</v>
      </c>
      <c r="T76" s="2">
        <v>1</v>
      </c>
      <c r="U76" s="2">
        <v>1</v>
      </c>
      <c r="V76" s="44">
        <v>1</v>
      </c>
      <c r="W76" s="2">
        <v>1</v>
      </c>
      <c r="X76" s="2">
        <v>1</v>
      </c>
      <c r="Y76" s="2">
        <v>1</v>
      </c>
      <c r="Z76" s="2">
        <v>1</v>
      </c>
      <c r="AA76" s="45">
        <v>1</v>
      </c>
      <c r="AB76" s="41">
        <v>2024</v>
      </c>
      <c r="AC76" s="127"/>
      <c r="AD76" s="109"/>
      <c r="AE76" s="50"/>
    </row>
    <row r="77" spans="1:34" s="72" customFormat="1" x14ac:dyDescent="0.25">
      <c r="A77" s="54" t="s">
        <v>18</v>
      </c>
      <c r="B77" s="54" t="s">
        <v>18</v>
      </c>
      <c r="C77" s="54" t="s">
        <v>21</v>
      </c>
      <c r="D77" s="54" t="s">
        <v>18</v>
      </c>
      <c r="E77" s="54" t="s">
        <v>21</v>
      </c>
      <c r="F77" s="54" t="s">
        <v>18</v>
      </c>
      <c r="G77" s="54" t="s">
        <v>22</v>
      </c>
      <c r="H77" s="54" t="s">
        <v>19</v>
      </c>
      <c r="I77" s="54" t="s">
        <v>24</v>
      </c>
      <c r="J77" s="54" t="s">
        <v>18</v>
      </c>
      <c r="K77" s="54" t="s">
        <v>18</v>
      </c>
      <c r="L77" s="54" t="s">
        <v>19</v>
      </c>
      <c r="M77" s="54" t="s">
        <v>18</v>
      </c>
      <c r="N77" s="54" t="s">
        <v>18</v>
      </c>
      <c r="O77" s="54" t="s">
        <v>18</v>
      </c>
      <c r="P77" s="54" t="s">
        <v>18</v>
      </c>
      <c r="Q77" s="54" t="s">
        <v>18</v>
      </c>
      <c r="R77" s="154" t="s">
        <v>96</v>
      </c>
      <c r="S77" s="55" t="s">
        <v>0</v>
      </c>
      <c r="T77" s="1">
        <f>T78+T79+T80</f>
        <v>2096.2999999999997</v>
      </c>
      <c r="U77" s="1">
        <f t="shared" ref="U77:Z77" si="34">U78+U79+U80</f>
        <v>2084.3000000000002</v>
      </c>
      <c r="V77" s="1">
        <f t="shared" si="34"/>
        <v>3027.7999999999997</v>
      </c>
      <c r="W77" s="1">
        <f t="shared" si="34"/>
        <v>1555.3</v>
      </c>
      <c r="X77" s="1">
        <f t="shared" si="34"/>
        <v>1555.3</v>
      </c>
      <c r="Y77" s="1">
        <f t="shared" si="34"/>
        <v>1555.3</v>
      </c>
      <c r="Z77" s="1">
        <f t="shared" si="34"/>
        <v>1555.3</v>
      </c>
      <c r="AA77" s="59">
        <f>SUM(T77:Z77)</f>
        <v>13429.599999999997</v>
      </c>
      <c r="AB77" s="58">
        <v>2024</v>
      </c>
      <c r="AC77" s="120"/>
    </row>
    <row r="78" spans="1:34" s="72" customFormat="1" x14ac:dyDescent="0.25">
      <c r="A78" s="54" t="s">
        <v>18</v>
      </c>
      <c r="B78" s="54" t="s">
        <v>18</v>
      </c>
      <c r="C78" s="54" t="s">
        <v>21</v>
      </c>
      <c r="D78" s="54" t="s">
        <v>18</v>
      </c>
      <c r="E78" s="54" t="s">
        <v>21</v>
      </c>
      <c r="F78" s="54" t="s">
        <v>18</v>
      </c>
      <c r="G78" s="54" t="s">
        <v>22</v>
      </c>
      <c r="H78" s="54" t="s">
        <v>19</v>
      </c>
      <c r="I78" s="54" t="s">
        <v>24</v>
      </c>
      <c r="J78" s="54" t="s">
        <v>18</v>
      </c>
      <c r="K78" s="54" t="s">
        <v>18</v>
      </c>
      <c r="L78" s="54" t="s">
        <v>19</v>
      </c>
      <c r="M78" s="54" t="s">
        <v>19</v>
      </c>
      <c r="N78" s="54" t="s">
        <v>18</v>
      </c>
      <c r="O78" s="54" t="s">
        <v>23</v>
      </c>
      <c r="P78" s="54" t="s">
        <v>19</v>
      </c>
      <c r="Q78" s="54" t="s">
        <v>20</v>
      </c>
      <c r="R78" s="155"/>
      <c r="S78" s="55" t="s">
        <v>0</v>
      </c>
      <c r="T78" s="1">
        <v>0</v>
      </c>
      <c r="U78" s="1">
        <v>0</v>
      </c>
      <c r="V78" s="1">
        <v>1100</v>
      </c>
      <c r="W78" s="1">
        <v>0</v>
      </c>
      <c r="X78" s="1">
        <v>0</v>
      </c>
      <c r="Y78" s="1">
        <v>0</v>
      </c>
      <c r="Z78" s="1">
        <v>0</v>
      </c>
      <c r="AA78" s="59">
        <f t="shared" ref="AA78:AA80" si="35">SUM(T78:Z78)</f>
        <v>1100</v>
      </c>
      <c r="AB78" s="58">
        <v>2020</v>
      </c>
      <c r="AC78" s="120"/>
    </row>
    <row r="79" spans="1:34" s="72" customFormat="1" x14ac:dyDescent="0.25">
      <c r="A79" s="54" t="s">
        <v>18</v>
      </c>
      <c r="B79" s="54" t="s">
        <v>18</v>
      </c>
      <c r="C79" s="54" t="s">
        <v>21</v>
      </c>
      <c r="D79" s="54" t="s">
        <v>18</v>
      </c>
      <c r="E79" s="54" t="s">
        <v>21</v>
      </c>
      <c r="F79" s="54" t="s">
        <v>18</v>
      </c>
      <c r="G79" s="54" t="s">
        <v>22</v>
      </c>
      <c r="H79" s="54" t="s">
        <v>19</v>
      </c>
      <c r="I79" s="54" t="s">
        <v>24</v>
      </c>
      <c r="J79" s="54" t="s">
        <v>18</v>
      </c>
      <c r="K79" s="54" t="s">
        <v>18</v>
      </c>
      <c r="L79" s="54" t="s">
        <v>19</v>
      </c>
      <c r="M79" s="54" t="s">
        <v>37</v>
      </c>
      <c r="N79" s="54" t="s">
        <v>18</v>
      </c>
      <c r="O79" s="54" t="s">
        <v>23</v>
      </c>
      <c r="P79" s="54" t="s">
        <v>19</v>
      </c>
      <c r="Q79" s="54" t="s">
        <v>20</v>
      </c>
      <c r="R79" s="155"/>
      <c r="S79" s="55" t="s">
        <v>0</v>
      </c>
      <c r="T79" s="1">
        <v>0</v>
      </c>
      <c r="U79" s="1">
        <v>0</v>
      </c>
      <c r="V79" s="1">
        <f>111-71.5</f>
        <v>39.5</v>
      </c>
      <c r="W79" s="1">
        <v>0</v>
      </c>
      <c r="X79" s="1">
        <v>0</v>
      </c>
      <c r="Y79" s="1">
        <v>0</v>
      </c>
      <c r="Z79" s="1">
        <v>0</v>
      </c>
      <c r="AA79" s="59">
        <f t="shared" si="35"/>
        <v>39.5</v>
      </c>
      <c r="AB79" s="58">
        <v>2020</v>
      </c>
      <c r="AC79" s="120"/>
    </row>
    <row r="80" spans="1:34" s="72" customFormat="1" x14ac:dyDescent="0.25">
      <c r="A80" s="54" t="s">
        <v>18</v>
      </c>
      <c r="B80" s="54" t="s">
        <v>18</v>
      </c>
      <c r="C80" s="54" t="s">
        <v>21</v>
      </c>
      <c r="D80" s="54" t="s">
        <v>18</v>
      </c>
      <c r="E80" s="54" t="s">
        <v>21</v>
      </c>
      <c r="F80" s="54" t="s">
        <v>18</v>
      </c>
      <c r="G80" s="54" t="s">
        <v>22</v>
      </c>
      <c r="H80" s="54" t="s">
        <v>19</v>
      </c>
      <c r="I80" s="54" t="s">
        <v>24</v>
      </c>
      <c r="J80" s="54" t="s">
        <v>18</v>
      </c>
      <c r="K80" s="54" t="s">
        <v>18</v>
      </c>
      <c r="L80" s="54" t="s">
        <v>19</v>
      </c>
      <c r="M80" s="54" t="s">
        <v>43</v>
      </c>
      <c r="N80" s="54" t="s">
        <v>43</v>
      </c>
      <c r="O80" s="54" t="s">
        <v>43</v>
      </c>
      <c r="P80" s="54" t="s">
        <v>43</v>
      </c>
      <c r="Q80" s="54" t="s">
        <v>43</v>
      </c>
      <c r="R80" s="156"/>
      <c r="S80" s="55" t="s">
        <v>0</v>
      </c>
      <c r="T80" s="1">
        <f>3665-832.4-710-26.3</f>
        <v>2096.2999999999997</v>
      </c>
      <c r="U80" s="1">
        <f>3624.7-120.3-282.1-1110.8-27.2</f>
        <v>2084.3000000000002</v>
      </c>
      <c r="V80" s="1">
        <f>3624.7-553-111-1072.4</f>
        <v>1888.2999999999997</v>
      </c>
      <c r="W80" s="1">
        <v>1555.3</v>
      </c>
      <c r="X80" s="1">
        <v>1555.3</v>
      </c>
      <c r="Y80" s="1">
        <v>1555.3</v>
      </c>
      <c r="Z80" s="1">
        <v>1555.3</v>
      </c>
      <c r="AA80" s="59">
        <f t="shared" si="35"/>
        <v>12290.099999999999</v>
      </c>
      <c r="AB80" s="58">
        <v>2024</v>
      </c>
      <c r="AC80" s="120"/>
    </row>
    <row r="81" spans="1:30" s="72" customFormat="1" ht="48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48" t="s">
        <v>97</v>
      </c>
      <c r="S81" s="41" t="s">
        <v>38</v>
      </c>
      <c r="T81" s="44">
        <v>5</v>
      </c>
      <c r="U81" s="44">
        <v>5</v>
      </c>
      <c r="V81" s="44">
        <v>5</v>
      </c>
      <c r="W81" s="44">
        <v>5</v>
      </c>
      <c r="X81" s="44">
        <v>5</v>
      </c>
      <c r="Y81" s="44">
        <v>5</v>
      </c>
      <c r="Z81" s="44">
        <v>5</v>
      </c>
      <c r="AA81" s="49">
        <v>5</v>
      </c>
      <c r="AB81" s="41">
        <v>2024</v>
      </c>
      <c r="AC81" s="123"/>
      <c r="AD81" s="109"/>
    </row>
    <row r="82" spans="1:30" s="72" customFormat="1" ht="31.5" x14ac:dyDescent="0.25">
      <c r="A82" s="54"/>
      <c r="B82" s="54"/>
      <c r="C82" s="54"/>
      <c r="D82" s="54" t="s">
        <v>18</v>
      </c>
      <c r="E82" s="54" t="s">
        <v>21</v>
      </c>
      <c r="F82" s="54" t="s">
        <v>18</v>
      </c>
      <c r="G82" s="54" t="s">
        <v>22</v>
      </c>
      <c r="H82" s="54" t="s">
        <v>19</v>
      </c>
      <c r="I82" s="54" t="s">
        <v>24</v>
      </c>
      <c r="J82" s="54" t="s">
        <v>18</v>
      </c>
      <c r="K82" s="54" t="s">
        <v>18</v>
      </c>
      <c r="L82" s="54" t="s">
        <v>19</v>
      </c>
      <c r="M82" s="54" t="s">
        <v>43</v>
      </c>
      <c r="N82" s="54" t="s">
        <v>43</v>
      </c>
      <c r="O82" s="54" t="s">
        <v>43</v>
      </c>
      <c r="P82" s="54" t="s">
        <v>43</v>
      </c>
      <c r="Q82" s="54" t="s">
        <v>43</v>
      </c>
      <c r="R82" s="68" t="s">
        <v>98</v>
      </c>
      <c r="S82" s="58" t="s">
        <v>0</v>
      </c>
      <c r="T82" s="59">
        <f t="shared" ref="T82:Y82" si="36">T86+T90+T94+T98+T102</f>
        <v>4566.3999999999996</v>
      </c>
      <c r="U82" s="59">
        <f>U86+U90+U94+U98+U102</f>
        <v>7525.4000000000005</v>
      </c>
      <c r="V82" s="59">
        <f t="shared" si="36"/>
        <v>8494.6</v>
      </c>
      <c r="W82" s="59">
        <f t="shared" si="36"/>
        <v>6400</v>
      </c>
      <c r="X82" s="59">
        <f t="shared" si="36"/>
        <v>6400</v>
      </c>
      <c r="Y82" s="59">
        <f t="shared" si="36"/>
        <v>6400</v>
      </c>
      <c r="Z82" s="59">
        <f t="shared" ref="Z82" si="37">Z86+Z90+Z94+Z98+Z102</f>
        <v>6400</v>
      </c>
      <c r="AA82" s="59">
        <f>SUM(T82:Z82)</f>
        <v>46186.400000000001</v>
      </c>
      <c r="AB82" s="58">
        <v>2024</v>
      </c>
      <c r="AC82" s="120"/>
    </row>
    <row r="83" spans="1:30" s="72" customFormat="1" ht="47.25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61" t="s">
        <v>99</v>
      </c>
      <c r="S83" s="142" t="s">
        <v>38</v>
      </c>
      <c r="T83" s="44">
        <f t="shared" ref="T83:Y84" si="38">T87+T91+T95+T99</f>
        <v>65</v>
      </c>
      <c r="U83" s="44">
        <f t="shared" si="38"/>
        <v>198</v>
      </c>
      <c r="V83" s="44">
        <f t="shared" si="38"/>
        <v>310</v>
      </c>
      <c r="W83" s="44">
        <f t="shared" si="38"/>
        <v>118</v>
      </c>
      <c r="X83" s="44">
        <f t="shared" si="38"/>
        <v>117</v>
      </c>
      <c r="Y83" s="44">
        <f t="shared" si="38"/>
        <v>117</v>
      </c>
      <c r="Z83" s="44">
        <f t="shared" ref="Z83" si="39">Z87+Z91+Z95+Z99</f>
        <v>117</v>
      </c>
      <c r="AA83" s="49">
        <f>SUM(T83:Z83)</f>
        <v>1042</v>
      </c>
      <c r="AB83" s="142">
        <v>2024</v>
      </c>
      <c r="AC83" s="33"/>
    </row>
    <row r="84" spans="1:30" s="72" customFormat="1" ht="31.5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61" t="s">
        <v>100</v>
      </c>
      <c r="S84" s="142" t="s">
        <v>38</v>
      </c>
      <c r="T84" s="44">
        <f t="shared" si="38"/>
        <v>16</v>
      </c>
      <c r="U84" s="44">
        <f t="shared" si="38"/>
        <v>16</v>
      </c>
      <c r="V84" s="44">
        <f t="shared" si="38"/>
        <v>19</v>
      </c>
      <c r="W84" s="44">
        <f t="shared" si="38"/>
        <v>17</v>
      </c>
      <c r="X84" s="44">
        <f t="shared" si="38"/>
        <v>17</v>
      </c>
      <c r="Y84" s="44">
        <f t="shared" si="38"/>
        <v>17</v>
      </c>
      <c r="Z84" s="44">
        <f t="shared" ref="Z84" si="40">Z88+Z92+Z96+Z100</f>
        <v>17</v>
      </c>
      <c r="AA84" s="49">
        <v>17</v>
      </c>
      <c r="AB84" s="142">
        <v>2024</v>
      </c>
      <c r="AC84" s="33"/>
    </row>
    <row r="85" spans="1:30" ht="46.9" customHeight="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61" t="s">
        <v>324</v>
      </c>
      <c r="S85" s="142" t="s">
        <v>38</v>
      </c>
      <c r="T85" s="44">
        <f>T89+T93+T97+T103+T101</f>
        <v>25</v>
      </c>
      <c r="U85" s="44">
        <f>U89+U93+U97+U103+U101</f>
        <v>77</v>
      </c>
      <c r="V85" s="44">
        <f>V89+V93+V97+V103+V101</f>
        <v>74</v>
      </c>
      <c r="W85" s="44">
        <f t="shared" ref="W85:Y85" si="41">W89+W93+W97+W103+W101</f>
        <v>74</v>
      </c>
      <c r="X85" s="44">
        <f t="shared" si="41"/>
        <v>74</v>
      </c>
      <c r="Y85" s="44">
        <f t="shared" si="41"/>
        <v>74</v>
      </c>
      <c r="Z85" s="44">
        <f t="shared" ref="Z85" si="42">Z89+Z93+Z97+Z103+Z101</f>
        <v>74</v>
      </c>
      <c r="AA85" s="49">
        <f>SUM(T85:Z85)</f>
        <v>472</v>
      </c>
      <c r="AB85" s="142">
        <v>2024</v>
      </c>
      <c r="AC85" s="123"/>
      <c r="AD85" s="102"/>
    </row>
    <row r="86" spans="1:30" ht="31.5" x14ac:dyDescent="0.25">
      <c r="A86" s="54" t="s">
        <v>18</v>
      </c>
      <c r="B86" s="54" t="s">
        <v>18</v>
      </c>
      <c r="C86" s="54" t="s">
        <v>22</v>
      </c>
      <c r="D86" s="54" t="s">
        <v>18</v>
      </c>
      <c r="E86" s="54" t="s">
        <v>21</v>
      </c>
      <c r="F86" s="54" t="s">
        <v>18</v>
      </c>
      <c r="G86" s="54" t="s">
        <v>22</v>
      </c>
      <c r="H86" s="54" t="s">
        <v>19</v>
      </c>
      <c r="I86" s="54" t="s">
        <v>24</v>
      </c>
      <c r="J86" s="54" t="s">
        <v>18</v>
      </c>
      <c r="K86" s="54" t="s">
        <v>18</v>
      </c>
      <c r="L86" s="54" t="s">
        <v>19</v>
      </c>
      <c r="M86" s="54" t="s">
        <v>43</v>
      </c>
      <c r="N86" s="54" t="s">
        <v>43</v>
      </c>
      <c r="O86" s="54" t="s">
        <v>43</v>
      </c>
      <c r="P86" s="54" t="s">
        <v>43</v>
      </c>
      <c r="Q86" s="54" t="s">
        <v>43</v>
      </c>
      <c r="R86" s="69" t="s">
        <v>101</v>
      </c>
      <c r="S86" s="55" t="s">
        <v>0</v>
      </c>
      <c r="T86" s="1">
        <f>1780.9-223.4+140-15.2</f>
        <v>1682.3</v>
      </c>
      <c r="U86" s="1">
        <f>1650-73+745.2</f>
        <v>2322.1999999999998</v>
      </c>
      <c r="V86" s="1">
        <v>1650</v>
      </c>
      <c r="W86" s="1">
        <v>1500</v>
      </c>
      <c r="X86" s="1">
        <v>1500</v>
      </c>
      <c r="Y86" s="1">
        <v>1500</v>
      </c>
      <c r="Z86" s="1">
        <v>1500</v>
      </c>
      <c r="AA86" s="59">
        <f>SUM(T86:Z86)</f>
        <v>11654.5</v>
      </c>
      <c r="AB86" s="58">
        <v>2024</v>
      </c>
      <c r="AC86" s="120"/>
    </row>
    <row r="87" spans="1:30" ht="46.15" customHeight="1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61" t="s">
        <v>102</v>
      </c>
      <c r="S87" s="142" t="s">
        <v>38</v>
      </c>
      <c r="T87" s="2">
        <v>33</v>
      </c>
      <c r="U87" s="2">
        <v>38</v>
      </c>
      <c r="V87" s="2">
        <v>20</v>
      </c>
      <c r="W87" s="2">
        <v>20</v>
      </c>
      <c r="X87" s="2">
        <v>20</v>
      </c>
      <c r="Y87" s="2">
        <v>20</v>
      </c>
      <c r="Z87" s="2">
        <v>20</v>
      </c>
      <c r="AA87" s="49">
        <f>SUM(T87:Z87)</f>
        <v>171</v>
      </c>
      <c r="AB87" s="41">
        <v>2024</v>
      </c>
      <c r="AC87" s="33"/>
    </row>
    <row r="88" spans="1:30" ht="47.25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1" t="s">
        <v>103</v>
      </c>
      <c r="S88" s="142" t="s">
        <v>38</v>
      </c>
      <c r="T88" s="2">
        <v>4</v>
      </c>
      <c r="U88" s="2">
        <v>4</v>
      </c>
      <c r="V88" s="2">
        <v>4</v>
      </c>
      <c r="W88" s="2">
        <v>4</v>
      </c>
      <c r="X88" s="2">
        <v>4</v>
      </c>
      <c r="Y88" s="2">
        <v>4</v>
      </c>
      <c r="Z88" s="2">
        <v>4</v>
      </c>
      <c r="AA88" s="45">
        <v>4</v>
      </c>
      <c r="AB88" s="41">
        <v>2024</v>
      </c>
      <c r="AC88" s="33"/>
    </row>
    <row r="89" spans="1:30" ht="63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61" t="s">
        <v>325</v>
      </c>
      <c r="S89" s="142" t="s">
        <v>38</v>
      </c>
      <c r="T89" s="44">
        <v>0</v>
      </c>
      <c r="U89" s="44">
        <v>29</v>
      </c>
      <c r="V89" s="44">
        <v>25</v>
      </c>
      <c r="W89" s="44">
        <v>26</v>
      </c>
      <c r="X89" s="44">
        <v>26</v>
      </c>
      <c r="Y89" s="44">
        <v>26</v>
      </c>
      <c r="Z89" s="44">
        <v>26</v>
      </c>
      <c r="AA89" s="49">
        <f>SUM(T89:Z89)</f>
        <v>158</v>
      </c>
      <c r="AB89" s="41">
        <v>2024</v>
      </c>
      <c r="AC89" s="123"/>
      <c r="AD89" s="102"/>
    </row>
    <row r="90" spans="1:30" ht="31.5" x14ac:dyDescent="0.25">
      <c r="A90" s="54" t="s">
        <v>18</v>
      </c>
      <c r="B90" s="54" t="s">
        <v>18</v>
      </c>
      <c r="C90" s="54" t="s">
        <v>24</v>
      </c>
      <c r="D90" s="54" t="s">
        <v>18</v>
      </c>
      <c r="E90" s="54" t="s">
        <v>21</v>
      </c>
      <c r="F90" s="54" t="s">
        <v>18</v>
      </c>
      <c r="G90" s="54" t="s">
        <v>22</v>
      </c>
      <c r="H90" s="54" t="s">
        <v>19</v>
      </c>
      <c r="I90" s="54" t="s">
        <v>24</v>
      </c>
      <c r="J90" s="54" t="s">
        <v>18</v>
      </c>
      <c r="K90" s="54" t="s">
        <v>18</v>
      </c>
      <c r="L90" s="54" t="s">
        <v>19</v>
      </c>
      <c r="M90" s="54" t="s">
        <v>43</v>
      </c>
      <c r="N90" s="54" t="s">
        <v>43</v>
      </c>
      <c r="O90" s="54" t="s">
        <v>43</v>
      </c>
      <c r="P90" s="54" t="s">
        <v>43</v>
      </c>
      <c r="Q90" s="54" t="s">
        <v>43</v>
      </c>
      <c r="R90" s="69" t="s">
        <v>104</v>
      </c>
      <c r="S90" s="55" t="s">
        <v>0</v>
      </c>
      <c r="T90" s="1">
        <f>1051.4-28.4-48.1</f>
        <v>974.90000000000009</v>
      </c>
      <c r="U90" s="1">
        <f>1450-14.6</f>
        <v>1435.4</v>
      </c>
      <c r="V90" s="1">
        <f>1450+1054.3-450.6</f>
        <v>2053.7000000000003</v>
      </c>
      <c r="W90" s="1">
        <v>1500</v>
      </c>
      <c r="X90" s="1">
        <v>1500</v>
      </c>
      <c r="Y90" s="1">
        <v>1500</v>
      </c>
      <c r="Z90" s="1">
        <v>1500</v>
      </c>
      <c r="AA90" s="59">
        <f>SUM(T90:Z90)</f>
        <v>10464</v>
      </c>
      <c r="AB90" s="58">
        <v>2024</v>
      </c>
      <c r="AC90" s="119"/>
      <c r="AD90" s="109"/>
    </row>
    <row r="91" spans="1:30" ht="48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61" t="s">
        <v>267</v>
      </c>
      <c r="S91" s="142" t="s">
        <v>38</v>
      </c>
      <c r="T91" s="44">
        <v>4</v>
      </c>
      <c r="U91" s="44">
        <v>58</v>
      </c>
      <c r="V91" s="44">
        <v>0</v>
      </c>
      <c r="W91" s="44">
        <v>8</v>
      </c>
      <c r="X91" s="44">
        <v>8</v>
      </c>
      <c r="Y91" s="44">
        <v>8</v>
      </c>
      <c r="Z91" s="44">
        <v>8</v>
      </c>
      <c r="AA91" s="49">
        <f>SUM(T91:Z91)</f>
        <v>94</v>
      </c>
      <c r="AB91" s="41">
        <v>2024</v>
      </c>
      <c r="AC91" s="33"/>
    </row>
    <row r="92" spans="1:30" s="8" customFormat="1" ht="47.25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1" t="s">
        <v>268</v>
      </c>
      <c r="S92" s="142" t="s">
        <v>38</v>
      </c>
      <c r="T92" s="44">
        <v>5</v>
      </c>
      <c r="U92" s="44">
        <v>5</v>
      </c>
      <c r="V92" s="44">
        <v>6</v>
      </c>
      <c r="W92" s="44">
        <v>6</v>
      </c>
      <c r="X92" s="44">
        <v>6</v>
      </c>
      <c r="Y92" s="44">
        <v>6</v>
      </c>
      <c r="Z92" s="44">
        <v>6</v>
      </c>
      <c r="AA92" s="49">
        <v>6</v>
      </c>
      <c r="AB92" s="41">
        <v>2024</v>
      </c>
      <c r="AC92" s="123"/>
      <c r="AD92" s="102"/>
    </row>
    <row r="93" spans="1:30" ht="63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61" t="s">
        <v>326</v>
      </c>
      <c r="S93" s="142" t="s">
        <v>38</v>
      </c>
      <c r="T93" s="44">
        <v>0</v>
      </c>
      <c r="U93" s="44">
        <v>16</v>
      </c>
      <c r="V93" s="44">
        <v>16</v>
      </c>
      <c r="W93" s="44">
        <v>14</v>
      </c>
      <c r="X93" s="44">
        <v>14</v>
      </c>
      <c r="Y93" s="44">
        <v>14</v>
      </c>
      <c r="Z93" s="44">
        <v>14</v>
      </c>
      <c r="AA93" s="49">
        <f>SUM(T93:Z93)</f>
        <v>88</v>
      </c>
      <c r="AB93" s="41">
        <v>2024</v>
      </c>
      <c r="AC93" s="123"/>
      <c r="AD93" s="102"/>
    </row>
    <row r="94" spans="1:30" ht="31.5" x14ac:dyDescent="0.25">
      <c r="A94" s="54" t="s">
        <v>18</v>
      </c>
      <c r="B94" s="54" t="s">
        <v>18</v>
      </c>
      <c r="C94" s="54" t="s">
        <v>21</v>
      </c>
      <c r="D94" s="54" t="s">
        <v>18</v>
      </c>
      <c r="E94" s="54" t="s">
        <v>21</v>
      </c>
      <c r="F94" s="54" t="s">
        <v>18</v>
      </c>
      <c r="G94" s="54" t="s">
        <v>22</v>
      </c>
      <c r="H94" s="54" t="s">
        <v>19</v>
      </c>
      <c r="I94" s="54" t="s">
        <v>24</v>
      </c>
      <c r="J94" s="54" t="s">
        <v>18</v>
      </c>
      <c r="K94" s="54" t="s">
        <v>18</v>
      </c>
      <c r="L94" s="54" t="s">
        <v>19</v>
      </c>
      <c r="M94" s="54" t="s">
        <v>43</v>
      </c>
      <c r="N94" s="54" t="s">
        <v>43</v>
      </c>
      <c r="O94" s="54" t="s">
        <v>43</v>
      </c>
      <c r="P94" s="54" t="s">
        <v>43</v>
      </c>
      <c r="Q94" s="54" t="s">
        <v>43</v>
      </c>
      <c r="R94" s="69" t="s">
        <v>104</v>
      </c>
      <c r="S94" s="55" t="s">
        <v>0</v>
      </c>
      <c r="T94" s="1">
        <f>1351.9-396.7-310.9-34</f>
        <v>610.30000000000007</v>
      </c>
      <c r="U94" s="1">
        <f>1750-198.6-29.9</f>
        <v>1521.5</v>
      </c>
      <c r="V94" s="1">
        <f>1749.6+553-113</f>
        <v>2189.6</v>
      </c>
      <c r="W94" s="1">
        <v>1500</v>
      </c>
      <c r="X94" s="1">
        <v>1500</v>
      </c>
      <c r="Y94" s="1">
        <v>1500</v>
      </c>
      <c r="Z94" s="1">
        <v>1500</v>
      </c>
      <c r="AA94" s="59">
        <f>SUM(T94:Z94)</f>
        <v>10321.4</v>
      </c>
      <c r="AB94" s="58">
        <v>2024</v>
      </c>
      <c r="AC94" s="119"/>
      <c r="AD94" s="102"/>
    </row>
    <row r="95" spans="1:30" ht="47.25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61" t="s">
        <v>269</v>
      </c>
      <c r="S95" s="142" t="s">
        <v>38</v>
      </c>
      <c r="T95" s="2">
        <v>21</v>
      </c>
      <c r="U95" s="2">
        <v>95</v>
      </c>
      <c r="V95" s="2">
        <v>220</v>
      </c>
      <c r="W95" s="2">
        <v>20</v>
      </c>
      <c r="X95" s="2">
        <v>19</v>
      </c>
      <c r="Y95" s="2">
        <v>19</v>
      </c>
      <c r="Z95" s="2">
        <v>19</v>
      </c>
      <c r="AA95" s="49">
        <f>SUM(T95:Z95)</f>
        <v>413</v>
      </c>
      <c r="AB95" s="41">
        <v>2024</v>
      </c>
      <c r="AC95" s="123"/>
      <c r="AD95" s="102"/>
    </row>
    <row r="96" spans="1:30" ht="47.25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61" t="s">
        <v>270</v>
      </c>
      <c r="S96" s="142" t="s">
        <v>38</v>
      </c>
      <c r="T96" s="2">
        <v>4</v>
      </c>
      <c r="U96" s="2">
        <v>5</v>
      </c>
      <c r="V96" s="2">
        <v>5</v>
      </c>
      <c r="W96" s="2">
        <v>4</v>
      </c>
      <c r="X96" s="2">
        <v>4</v>
      </c>
      <c r="Y96" s="2">
        <v>4</v>
      </c>
      <c r="Z96" s="2">
        <v>4</v>
      </c>
      <c r="AA96" s="45">
        <v>4</v>
      </c>
      <c r="AB96" s="41">
        <v>2024</v>
      </c>
      <c r="AC96" s="127"/>
      <c r="AD96" s="102"/>
    </row>
    <row r="97" spans="1:31" ht="63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61" t="s">
        <v>327</v>
      </c>
      <c r="S97" s="142" t="s">
        <v>38</v>
      </c>
      <c r="T97" s="44">
        <v>0</v>
      </c>
      <c r="U97" s="44">
        <v>16</v>
      </c>
      <c r="V97" s="44">
        <v>15</v>
      </c>
      <c r="W97" s="44">
        <v>22</v>
      </c>
      <c r="X97" s="44">
        <v>22</v>
      </c>
      <c r="Y97" s="44">
        <v>22</v>
      </c>
      <c r="Z97" s="44">
        <v>22</v>
      </c>
      <c r="AA97" s="49">
        <f>SUM(T97:Z97)</f>
        <v>119</v>
      </c>
      <c r="AB97" s="41">
        <v>2024</v>
      </c>
      <c r="AC97" s="123"/>
      <c r="AD97" s="102"/>
    </row>
    <row r="98" spans="1:31" ht="31.5" x14ac:dyDescent="0.25">
      <c r="A98" s="54" t="s">
        <v>18</v>
      </c>
      <c r="B98" s="54" t="s">
        <v>18</v>
      </c>
      <c r="C98" s="54" t="s">
        <v>25</v>
      </c>
      <c r="D98" s="54" t="s">
        <v>18</v>
      </c>
      <c r="E98" s="54" t="s">
        <v>21</v>
      </c>
      <c r="F98" s="54" t="s">
        <v>18</v>
      </c>
      <c r="G98" s="54" t="s">
        <v>22</v>
      </c>
      <c r="H98" s="54" t="s">
        <v>19</v>
      </c>
      <c r="I98" s="54" t="s">
        <v>24</v>
      </c>
      <c r="J98" s="54" t="s">
        <v>18</v>
      </c>
      <c r="K98" s="54" t="s">
        <v>18</v>
      </c>
      <c r="L98" s="54" t="s">
        <v>19</v>
      </c>
      <c r="M98" s="54" t="s">
        <v>43</v>
      </c>
      <c r="N98" s="54" t="s">
        <v>43</v>
      </c>
      <c r="O98" s="54" t="s">
        <v>43</v>
      </c>
      <c r="P98" s="54" t="s">
        <v>43</v>
      </c>
      <c r="Q98" s="54" t="s">
        <v>43</v>
      </c>
      <c r="R98" s="69" t="s">
        <v>101</v>
      </c>
      <c r="S98" s="55" t="s">
        <v>0</v>
      </c>
      <c r="T98" s="1">
        <f>4141.3-300-1489-672.7-86.2-669.2</f>
        <v>924.2</v>
      </c>
      <c r="U98" s="1">
        <f>2950-369.3-0.6-50-20-366-142.8</f>
        <v>2001.3</v>
      </c>
      <c r="V98" s="1">
        <f>2950+153.2-3.3-641.8</f>
        <v>2458.0999999999995</v>
      </c>
      <c r="W98" s="1">
        <v>1900</v>
      </c>
      <c r="X98" s="1">
        <v>1900</v>
      </c>
      <c r="Y98" s="1">
        <v>1900</v>
      </c>
      <c r="Z98" s="1">
        <v>1900</v>
      </c>
      <c r="AA98" s="59">
        <f>SUM(T98:Z98)</f>
        <v>12983.599999999999</v>
      </c>
      <c r="AB98" s="58">
        <v>2024</v>
      </c>
      <c r="AC98" s="120"/>
    </row>
    <row r="99" spans="1:31" ht="46.9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40" t="s">
        <v>271</v>
      </c>
      <c r="S99" s="142" t="s">
        <v>38</v>
      </c>
      <c r="T99" s="44">
        <v>7</v>
      </c>
      <c r="U99" s="44">
        <v>7</v>
      </c>
      <c r="V99" s="44">
        <v>70</v>
      </c>
      <c r="W99" s="44">
        <v>70</v>
      </c>
      <c r="X99" s="44">
        <v>70</v>
      </c>
      <c r="Y99" s="44">
        <v>70</v>
      </c>
      <c r="Z99" s="44">
        <v>70</v>
      </c>
      <c r="AA99" s="49">
        <f>SUM(T99:Z99)</f>
        <v>364</v>
      </c>
      <c r="AB99" s="41">
        <v>2024</v>
      </c>
      <c r="AC99" s="33"/>
    </row>
    <row r="100" spans="1:31" ht="47.25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40" t="s">
        <v>272</v>
      </c>
      <c r="S100" s="41" t="s">
        <v>38</v>
      </c>
      <c r="T100" s="44">
        <v>3</v>
      </c>
      <c r="U100" s="44">
        <v>2</v>
      </c>
      <c r="V100" s="44">
        <v>4</v>
      </c>
      <c r="W100" s="44">
        <v>3</v>
      </c>
      <c r="X100" s="44">
        <v>3</v>
      </c>
      <c r="Y100" s="44">
        <v>3</v>
      </c>
      <c r="Z100" s="44">
        <v>3</v>
      </c>
      <c r="AA100" s="49">
        <v>3</v>
      </c>
      <c r="AB100" s="41">
        <v>2024</v>
      </c>
      <c r="AC100" s="123"/>
      <c r="AD100" s="102"/>
    </row>
    <row r="101" spans="1:31" ht="63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61" t="s">
        <v>328</v>
      </c>
      <c r="S101" s="142" t="s">
        <v>38</v>
      </c>
      <c r="T101" s="44">
        <v>0</v>
      </c>
      <c r="U101" s="44">
        <v>15</v>
      </c>
      <c r="V101" s="44">
        <v>2</v>
      </c>
      <c r="W101" s="44">
        <v>12</v>
      </c>
      <c r="X101" s="44">
        <v>12</v>
      </c>
      <c r="Y101" s="44">
        <v>12</v>
      </c>
      <c r="Z101" s="44">
        <v>12</v>
      </c>
      <c r="AA101" s="49">
        <f>SUM(T101:Z101)</f>
        <v>65</v>
      </c>
      <c r="AB101" s="41">
        <v>2024</v>
      </c>
      <c r="AC101" s="123"/>
      <c r="AD101" s="102"/>
    </row>
    <row r="102" spans="1:31" ht="31.5" x14ac:dyDescent="0.25">
      <c r="A102" s="54" t="s">
        <v>18</v>
      </c>
      <c r="B102" s="54" t="s">
        <v>19</v>
      </c>
      <c r="C102" s="54" t="s">
        <v>24</v>
      </c>
      <c r="D102" s="54" t="s">
        <v>18</v>
      </c>
      <c r="E102" s="54" t="s">
        <v>21</v>
      </c>
      <c r="F102" s="54" t="s">
        <v>18</v>
      </c>
      <c r="G102" s="54" t="s">
        <v>22</v>
      </c>
      <c r="H102" s="54" t="s">
        <v>19</v>
      </c>
      <c r="I102" s="54" t="s">
        <v>24</v>
      </c>
      <c r="J102" s="54" t="s">
        <v>18</v>
      </c>
      <c r="K102" s="54" t="s">
        <v>18</v>
      </c>
      <c r="L102" s="54" t="s">
        <v>19</v>
      </c>
      <c r="M102" s="54" t="s">
        <v>43</v>
      </c>
      <c r="N102" s="54" t="s">
        <v>43</v>
      </c>
      <c r="O102" s="54" t="s">
        <v>43</v>
      </c>
      <c r="P102" s="54" t="s">
        <v>43</v>
      </c>
      <c r="Q102" s="54" t="s">
        <v>43</v>
      </c>
      <c r="R102" s="69" t="s">
        <v>101</v>
      </c>
      <c r="S102" s="55" t="s">
        <v>0</v>
      </c>
      <c r="T102" s="1">
        <f>236-236+500-125.3</f>
        <v>374.7</v>
      </c>
      <c r="U102" s="1">
        <f>0+229+48-32</f>
        <v>245</v>
      </c>
      <c r="V102" s="1">
        <f>0+150-6.8</f>
        <v>143.19999999999999</v>
      </c>
      <c r="W102" s="1">
        <v>0</v>
      </c>
      <c r="X102" s="1">
        <v>0</v>
      </c>
      <c r="Y102" s="1">
        <v>0</v>
      </c>
      <c r="Z102" s="1">
        <v>0</v>
      </c>
      <c r="AA102" s="59">
        <f>SUM(T102:Z102)</f>
        <v>762.90000000000009</v>
      </c>
      <c r="AB102" s="58">
        <v>2019</v>
      </c>
      <c r="AC102" s="123"/>
      <c r="AD102" s="102"/>
    </row>
    <row r="103" spans="1:31" ht="48.6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61" t="s">
        <v>331</v>
      </c>
      <c r="S103" s="142" t="s">
        <v>38</v>
      </c>
      <c r="T103" s="44">
        <v>25</v>
      </c>
      <c r="U103" s="2">
        <v>1</v>
      </c>
      <c r="V103" s="2">
        <v>16</v>
      </c>
      <c r="W103" s="2">
        <v>0</v>
      </c>
      <c r="X103" s="2">
        <v>0</v>
      </c>
      <c r="Y103" s="2">
        <v>0</v>
      </c>
      <c r="Z103" s="2">
        <v>0</v>
      </c>
      <c r="AA103" s="45">
        <f>SUM(T103:Z103)</f>
        <v>42</v>
      </c>
      <c r="AB103" s="41">
        <v>2020</v>
      </c>
      <c r="AC103" s="123"/>
      <c r="AD103" s="102"/>
    </row>
    <row r="104" spans="1:31" ht="31.5" x14ac:dyDescent="0.25">
      <c r="A104" s="54" t="s">
        <v>18</v>
      </c>
      <c r="B104" s="54" t="s">
        <v>19</v>
      </c>
      <c r="C104" s="54" t="s">
        <v>20</v>
      </c>
      <c r="D104" s="54" t="s">
        <v>18</v>
      </c>
      <c r="E104" s="54" t="s">
        <v>21</v>
      </c>
      <c r="F104" s="54" t="s">
        <v>18</v>
      </c>
      <c r="G104" s="54" t="s">
        <v>22</v>
      </c>
      <c r="H104" s="54" t="s">
        <v>19</v>
      </c>
      <c r="I104" s="54" t="s">
        <v>24</v>
      </c>
      <c r="J104" s="54" t="s">
        <v>18</v>
      </c>
      <c r="K104" s="54" t="s">
        <v>18</v>
      </c>
      <c r="L104" s="54" t="s">
        <v>19</v>
      </c>
      <c r="M104" s="54" t="s">
        <v>43</v>
      </c>
      <c r="N104" s="54" t="s">
        <v>43</v>
      </c>
      <c r="O104" s="54" t="s">
        <v>43</v>
      </c>
      <c r="P104" s="54" t="s">
        <v>43</v>
      </c>
      <c r="Q104" s="54" t="s">
        <v>43</v>
      </c>
      <c r="R104" s="140" t="s">
        <v>105</v>
      </c>
      <c r="S104" s="58" t="s">
        <v>0</v>
      </c>
      <c r="T104" s="59">
        <f>99204.4+25748.3-45-48-10</f>
        <v>124849.7</v>
      </c>
      <c r="U104" s="59">
        <f>98382.7+162290.6-3301.8</f>
        <v>257371.5</v>
      </c>
      <c r="V104" s="59">
        <f>180545.5-150-150-2115-100</f>
        <v>178030.5</v>
      </c>
      <c r="W104" s="59">
        <v>154888</v>
      </c>
      <c r="X104" s="59">
        <v>132888</v>
      </c>
      <c r="Y104" s="59">
        <v>132888</v>
      </c>
      <c r="Z104" s="59">
        <v>132888</v>
      </c>
      <c r="AA104" s="59">
        <f>SUM(T104:Z104)</f>
        <v>1113803.7</v>
      </c>
      <c r="AB104" s="58">
        <v>2024</v>
      </c>
      <c r="AC104" s="119"/>
      <c r="AD104" s="102"/>
    </row>
    <row r="105" spans="1:31" ht="33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61" t="s">
        <v>106</v>
      </c>
      <c r="S105" s="142" t="s">
        <v>50</v>
      </c>
      <c r="T105" s="2">
        <v>21452</v>
      </c>
      <c r="U105" s="2">
        <v>21713</v>
      </c>
      <c r="V105" s="2">
        <v>21820</v>
      </c>
      <c r="W105" s="2">
        <v>21820</v>
      </c>
      <c r="X105" s="2">
        <v>21820</v>
      </c>
      <c r="Y105" s="2">
        <v>21820</v>
      </c>
      <c r="Z105" s="2">
        <v>21820</v>
      </c>
      <c r="AA105" s="49">
        <f>Y105</f>
        <v>21820</v>
      </c>
      <c r="AB105" s="41">
        <v>2024</v>
      </c>
      <c r="AC105" s="123"/>
      <c r="AD105" s="109"/>
      <c r="AE105" s="109"/>
    </row>
    <row r="106" spans="1:31" ht="46.9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61" t="s">
        <v>107</v>
      </c>
      <c r="S106" s="142" t="s">
        <v>9</v>
      </c>
      <c r="T106" s="3">
        <v>95</v>
      </c>
      <c r="U106" s="3">
        <v>95</v>
      </c>
      <c r="V106" s="3">
        <v>95</v>
      </c>
      <c r="W106" s="3">
        <v>95</v>
      </c>
      <c r="X106" s="3">
        <v>95</v>
      </c>
      <c r="Y106" s="3">
        <v>95</v>
      </c>
      <c r="Z106" s="3">
        <v>95</v>
      </c>
      <c r="AA106" s="5">
        <v>95</v>
      </c>
      <c r="AB106" s="41">
        <v>2024</v>
      </c>
      <c r="AC106" s="33"/>
    </row>
    <row r="107" spans="1:31" ht="31.5" x14ac:dyDescent="0.25">
      <c r="A107" s="54"/>
      <c r="B107" s="54"/>
      <c r="C107" s="54"/>
      <c r="D107" s="54" t="s">
        <v>18</v>
      </c>
      <c r="E107" s="54" t="s">
        <v>21</v>
      </c>
      <c r="F107" s="54" t="s">
        <v>18</v>
      </c>
      <c r="G107" s="54" t="s">
        <v>22</v>
      </c>
      <c r="H107" s="54" t="s">
        <v>19</v>
      </c>
      <c r="I107" s="54" t="s">
        <v>24</v>
      </c>
      <c r="J107" s="54" t="s">
        <v>18</v>
      </c>
      <c r="K107" s="54" t="s">
        <v>18</v>
      </c>
      <c r="L107" s="54" t="s">
        <v>19</v>
      </c>
      <c r="M107" s="54" t="s">
        <v>43</v>
      </c>
      <c r="N107" s="54" t="s">
        <v>43</v>
      </c>
      <c r="O107" s="54" t="s">
        <v>43</v>
      </c>
      <c r="P107" s="54" t="s">
        <v>43</v>
      </c>
      <c r="Q107" s="54" t="s">
        <v>43</v>
      </c>
      <c r="R107" s="68" t="s">
        <v>108</v>
      </c>
      <c r="S107" s="58" t="s">
        <v>0</v>
      </c>
      <c r="T107" s="59">
        <f t="shared" ref="T107:Y108" si="43">T109+T111+T113+T115</f>
        <v>1880.0999999999997</v>
      </c>
      <c r="U107" s="59">
        <f t="shared" si="43"/>
        <v>1976</v>
      </c>
      <c r="V107" s="59">
        <f t="shared" si="43"/>
        <v>1715.8</v>
      </c>
      <c r="W107" s="59">
        <f t="shared" si="43"/>
        <v>2697.7</v>
      </c>
      <c r="X107" s="59">
        <f t="shared" si="43"/>
        <v>2697.7</v>
      </c>
      <c r="Y107" s="59">
        <f t="shared" si="43"/>
        <v>2697.7</v>
      </c>
      <c r="Z107" s="59">
        <f t="shared" ref="Z107" si="44">Z109+Z111+Z113+Z115</f>
        <v>2697.7</v>
      </c>
      <c r="AA107" s="59">
        <f t="shared" ref="AA107:AA116" si="45">SUM(T107:Z107)</f>
        <v>16362.7</v>
      </c>
      <c r="AB107" s="58">
        <v>2024</v>
      </c>
      <c r="AC107" s="120"/>
    </row>
    <row r="108" spans="1:31" ht="47.25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40" t="s">
        <v>109</v>
      </c>
      <c r="S108" s="41" t="s">
        <v>38</v>
      </c>
      <c r="T108" s="44">
        <f t="shared" si="43"/>
        <v>61</v>
      </c>
      <c r="U108" s="44">
        <f t="shared" si="43"/>
        <v>147</v>
      </c>
      <c r="V108" s="44">
        <f t="shared" si="43"/>
        <v>255</v>
      </c>
      <c r="W108" s="44">
        <f t="shared" si="43"/>
        <v>145</v>
      </c>
      <c r="X108" s="44">
        <f t="shared" si="43"/>
        <v>145</v>
      </c>
      <c r="Y108" s="44">
        <f t="shared" si="43"/>
        <v>145</v>
      </c>
      <c r="Z108" s="44">
        <f t="shared" ref="Z108" si="46">Z110+Z112+Z114+Z116</f>
        <v>145</v>
      </c>
      <c r="AA108" s="49">
        <f t="shared" si="45"/>
        <v>1043</v>
      </c>
      <c r="AB108" s="41">
        <v>2024</v>
      </c>
      <c r="AC108" s="123"/>
      <c r="AD108" s="102"/>
    </row>
    <row r="109" spans="1:31" ht="31.5" x14ac:dyDescent="0.25">
      <c r="A109" s="54" t="s">
        <v>18</v>
      </c>
      <c r="B109" s="54" t="s">
        <v>18</v>
      </c>
      <c r="C109" s="54" t="s">
        <v>22</v>
      </c>
      <c r="D109" s="54" t="s">
        <v>18</v>
      </c>
      <c r="E109" s="54" t="s">
        <v>21</v>
      </c>
      <c r="F109" s="54" t="s">
        <v>18</v>
      </c>
      <c r="G109" s="54" t="s">
        <v>22</v>
      </c>
      <c r="H109" s="54" t="s">
        <v>19</v>
      </c>
      <c r="I109" s="54" t="s">
        <v>24</v>
      </c>
      <c r="J109" s="54" t="s">
        <v>18</v>
      </c>
      <c r="K109" s="54" t="s">
        <v>18</v>
      </c>
      <c r="L109" s="54" t="s">
        <v>19</v>
      </c>
      <c r="M109" s="54" t="s">
        <v>43</v>
      </c>
      <c r="N109" s="54" t="s">
        <v>43</v>
      </c>
      <c r="O109" s="54" t="s">
        <v>43</v>
      </c>
      <c r="P109" s="54" t="s">
        <v>43</v>
      </c>
      <c r="Q109" s="54" t="s">
        <v>43</v>
      </c>
      <c r="R109" s="69" t="s">
        <v>110</v>
      </c>
      <c r="S109" s="55" t="s">
        <v>0</v>
      </c>
      <c r="T109" s="1">
        <f>92-9.2+105.5-26.8</f>
        <v>161.5</v>
      </c>
      <c r="U109" s="1">
        <f>1092-122.4</f>
        <v>969.6</v>
      </c>
      <c r="V109" s="1">
        <f>1092-692</f>
        <v>400</v>
      </c>
      <c r="W109" s="1">
        <v>1092</v>
      </c>
      <c r="X109" s="1">
        <v>1092</v>
      </c>
      <c r="Y109" s="1">
        <v>1092</v>
      </c>
      <c r="Z109" s="1">
        <v>1092</v>
      </c>
      <c r="AA109" s="59">
        <f t="shared" si="45"/>
        <v>5899.1</v>
      </c>
      <c r="AB109" s="58">
        <v>2024</v>
      </c>
      <c r="AC109" s="120"/>
    </row>
    <row r="110" spans="1:31" ht="47.25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74" t="s">
        <v>111</v>
      </c>
      <c r="S110" s="142" t="s">
        <v>38</v>
      </c>
      <c r="T110" s="44">
        <f>4+4</f>
        <v>8</v>
      </c>
      <c r="U110" s="44">
        <f>29+21</f>
        <v>50</v>
      </c>
      <c r="V110" s="44">
        <v>23</v>
      </c>
      <c r="W110" s="44">
        <v>29</v>
      </c>
      <c r="X110" s="44">
        <v>29</v>
      </c>
      <c r="Y110" s="44">
        <v>29</v>
      </c>
      <c r="Z110" s="44">
        <v>29</v>
      </c>
      <c r="AA110" s="49">
        <f t="shared" si="45"/>
        <v>197</v>
      </c>
      <c r="AB110" s="41">
        <v>2024</v>
      </c>
      <c r="AC110" s="127"/>
      <c r="AD110" s="109"/>
    </row>
    <row r="111" spans="1:31" ht="31.5" x14ac:dyDescent="0.25">
      <c r="A111" s="54" t="s">
        <v>18</v>
      </c>
      <c r="B111" s="54" t="s">
        <v>18</v>
      </c>
      <c r="C111" s="54" t="s">
        <v>24</v>
      </c>
      <c r="D111" s="54" t="s">
        <v>18</v>
      </c>
      <c r="E111" s="54" t="s">
        <v>21</v>
      </c>
      <c r="F111" s="54" t="s">
        <v>18</v>
      </c>
      <c r="G111" s="54" t="s">
        <v>22</v>
      </c>
      <c r="H111" s="54" t="s">
        <v>19</v>
      </c>
      <c r="I111" s="54" t="s">
        <v>24</v>
      </c>
      <c r="J111" s="54" t="s">
        <v>18</v>
      </c>
      <c r="K111" s="54" t="s">
        <v>18</v>
      </c>
      <c r="L111" s="54" t="s">
        <v>19</v>
      </c>
      <c r="M111" s="54" t="s">
        <v>43</v>
      </c>
      <c r="N111" s="54" t="s">
        <v>43</v>
      </c>
      <c r="O111" s="54" t="s">
        <v>43</v>
      </c>
      <c r="P111" s="54" t="s">
        <v>43</v>
      </c>
      <c r="Q111" s="54" t="s">
        <v>43</v>
      </c>
      <c r="R111" s="69" t="s">
        <v>110</v>
      </c>
      <c r="S111" s="55" t="s">
        <v>0</v>
      </c>
      <c r="T111" s="1">
        <f>1135.8-126-115.2-44.7</f>
        <v>849.89999999999986</v>
      </c>
      <c r="U111" s="1">
        <f>630.5-140-173</f>
        <v>317.5</v>
      </c>
      <c r="V111" s="1">
        <f>630.5-192.2</f>
        <v>438.3</v>
      </c>
      <c r="W111" s="1">
        <v>630.5</v>
      </c>
      <c r="X111" s="1">
        <v>630.5</v>
      </c>
      <c r="Y111" s="1">
        <v>630.5</v>
      </c>
      <c r="Z111" s="1">
        <v>630.5</v>
      </c>
      <c r="AA111" s="59">
        <f t="shared" si="45"/>
        <v>4127.7</v>
      </c>
      <c r="AB111" s="58">
        <v>2024</v>
      </c>
      <c r="AC111" s="122"/>
      <c r="AD111" s="102"/>
    </row>
    <row r="112" spans="1:31" ht="47.25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61" t="s">
        <v>112</v>
      </c>
      <c r="S112" s="142" t="s">
        <v>38</v>
      </c>
      <c r="T112" s="44">
        <v>26</v>
      </c>
      <c r="U112" s="44">
        <v>62</v>
      </c>
      <c r="V112" s="44">
        <v>56</v>
      </c>
      <c r="W112" s="44">
        <v>20</v>
      </c>
      <c r="X112" s="44">
        <v>20</v>
      </c>
      <c r="Y112" s="44">
        <v>20</v>
      </c>
      <c r="Z112" s="44">
        <v>20</v>
      </c>
      <c r="AA112" s="49">
        <f t="shared" si="45"/>
        <v>224</v>
      </c>
      <c r="AB112" s="41">
        <v>2024</v>
      </c>
      <c r="AC112" s="123"/>
      <c r="AD112" s="102"/>
    </row>
    <row r="113" spans="1:32" ht="31.5" x14ac:dyDescent="0.25">
      <c r="A113" s="54" t="s">
        <v>18</v>
      </c>
      <c r="B113" s="54" t="s">
        <v>18</v>
      </c>
      <c r="C113" s="54" t="s">
        <v>21</v>
      </c>
      <c r="D113" s="54" t="s">
        <v>18</v>
      </c>
      <c r="E113" s="54" t="s">
        <v>21</v>
      </c>
      <c r="F113" s="54" t="s">
        <v>18</v>
      </c>
      <c r="G113" s="54" t="s">
        <v>22</v>
      </c>
      <c r="H113" s="54" t="s">
        <v>19</v>
      </c>
      <c r="I113" s="54" t="s">
        <v>24</v>
      </c>
      <c r="J113" s="54" t="s">
        <v>18</v>
      </c>
      <c r="K113" s="54" t="s">
        <v>18</v>
      </c>
      <c r="L113" s="54" t="s">
        <v>19</v>
      </c>
      <c r="M113" s="54" t="s">
        <v>43</v>
      </c>
      <c r="N113" s="54" t="s">
        <v>43</v>
      </c>
      <c r="O113" s="54" t="s">
        <v>43</v>
      </c>
      <c r="P113" s="54" t="s">
        <v>43</v>
      </c>
      <c r="Q113" s="54" t="s">
        <v>43</v>
      </c>
      <c r="R113" s="69" t="s">
        <v>110</v>
      </c>
      <c r="S113" s="55" t="s">
        <v>0</v>
      </c>
      <c r="T113" s="1">
        <f>429.2+396.7-107.5</f>
        <v>718.4</v>
      </c>
      <c r="U113" s="1">
        <f>475.2-36.3</f>
        <v>438.9</v>
      </c>
      <c r="V113" s="1">
        <v>475.7</v>
      </c>
      <c r="W113" s="1">
        <v>475.2</v>
      </c>
      <c r="X113" s="1">
        <v>475.2</v>
      </c>
      <c r="Y113" s="1">
        <v>475.2</v>
      </c>
      <c r="Z113" s="1">
        <v>475.2</v>
      </c>
      <c r="AA113" s="59">
        <f t="shared" si="45"/>
        <v>3533.7999999999993</v>
      </c>
      <c r="AB113" s="58">
        <v>2024</v>
      </c>
      <c r="AC113" s="120"/>
    </row>
    <row r="114" spans="1:32" ht="47.25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 t="s">
        <v>113</v>
      </c>
      <c r="S114" s="41" t="s">
        <v>38</v>
      </c>
      <c r="T114" s="44">
        <v>17</v>
      </c>
      <c r="U114" s="44">
        <v>17</v>
      </c>
      <c r="V114" s="44">
        <v>122</v>
      </c>
      <c r="W114" s="44">
        <v>17</v>
      </c>
      <c r="X114" s="44">
        <v>17</v>
      </c>
      <c r="Y114" s="44">
        <v>17</v>
      </c>
      <c r="Z114" s="44">
        <v>17</v>
      </c>
      <c r="AA114" s="49">
        <f t="shared" si="45"/>
        <v>224</v>
      </c>
      <c r="AB114" s="41">
        <v>2024</v>
      </c>
      <c r="AC114" s="123"/>
      <c r="AD114" s="102"/>
    </row>
    <row r="115" spans="1:32" ht="31.5" x14ac:dyDescent="0.25">
      <c r="A115" s="54" t="s">
        <v>18</v>
      </c>
      <c r="B115" s="54" t="s">
        <v>18</v>
      </c>
      <c r="C115" s="54" t="s">
        <v>25</v>
      </c>
      <c r="D115" s="54" t="s">
        <v>18</v>
      </c>
      <c r="E115" s="54" t="s">
        <v>21</v>
      </c>
      <c r="F115" s="54" t="s">
        <v>18</v>
      </c>
      <c r="G115" s="54" t="s">
        <v>22</v>
      </c>
      <c r="H115" s="54" t="s">
        <v>19</v>
      </c>
      <c r="I115" s="54" t="s">
        <v>24</v>
      </c>
      <c r="J115" s="54" t="s">
        <v>18</v>
      </c>
      <c r="K115" s="54" t="s">
        <v>18</v>
      </c>
      <c r="L115" s="54" t="s">
        <v>19</v>
      </c>
      <c r="M115" s="54" t="s">
        <v>43</v>
      </c>
      <c r="N115" s="54" t="s">
        <v>43</v>
      </c>
      <c r="O115" s="54" t="s">
        <v>43</v>
      </c>
      <c r="P115" s="54" t="s">
        <v>43</v>
      </c>
      <c r="Q115" s="54" t="s">
        <v>43</v>
      </c>
      <c r="R115" s="69" t="s">
        <v>114</v>
      </c>
      <c r="S115" s="55" t="s">
        <v>0</v>
      </c>
      <c r="T115" s="1">
        <f>153.3-3</f>
        <v>150.30000000000001</v>
      </c>
      <c r="U115" s="1">
        <f>200+50</f>
        <v>250</v>
      </c>
      <c r="V115" s="1">
        <f>500-101.5+3.3</f>
        <v>401.8</v>
      </c>
      <c r="W115" s="1">
        <v>500</v>
      </c>
      <c r="X115" s="1">
        <v>500</v>
      </c>
      <c r="Y115" s="1">
        <v>500</v>
      </c>
      <c r="Z115" s="1">
        <v>500</v>
      </c>
      <c r="AA115" s="59">
        <f t="shared" si="45"/>
        <v>2802.1</v>
      </c>
      <c r="AB115" s="58">
        <v>2024</v>
      </c>
      <c r="AC115" s="33"/>
    </row>
    <row r="116" spans="1:32" ht="47.25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40" t="s">
        <v>115</v>
      </c>
      <c r="S116" s="41" t="s">
        <v>38</v>
      </c>
      <c r="T116" s="44">
        <v>10</v>
      </c>
      <c r="U116" s="44">
        <v>18</v>
      </c>
      <c r="V116" s="44">
        <v>54</v>
      </c>
      <c r="W116" s="44">
        <v>79</v>
      </c>
      <c r="X116" s="44">
        <v>79</v>
      </c>
      <c r="Y116" s="44">
        <v>79</v>
      </c>
      <c r="Z116" s="44">
        <v>79</v>
      </c>
      <c r="AA116" s="49">
        <f t="shared" si="45"/>
        <v>398</v>
      </c>
      <c r="AB116" s="41">
        <v>2024</v>
      </c>
      <c r="AC116" s="33"/>
    </row>
    <row r="117" spans="1:32" ht="31.5" x14ac:dyDescent="0.25">
      <c r="A117" s="54" t="s">
        <v>18</v>
      </c>
      <c r="B117" s="54" t="s">
        <v>19</v>
      </c>
      <c r="C117" s="54" t="s">
        <v>20</v>
      </c>
      <c r="D117" s="54" t="s">
        <v>18</v>
      </c>
      <c r="E117" s="54" t="s">
        <v>21</v>
      </c>
      <c r="F117" s="54" t="s">
        <v>18</v>
      </c>
      <c r="G117" s="54" t="s">
        <v>22</v>
      </c>
      <c r="H117" s="54" t="s">
        <v>19</v>
      </c>
      <c r="I117" s="54" t="s">
        <v>24</v>
      </c>
      <c r="J117" s="54" t="s">
        <v>18</v>
      </c>
      <c r="K117" s="54" t="s">
        <v>18</v>
      </c>
      <c r="L117" s="54" t="s">
        <v>19</v>
      </c>
      <c r="M117" s="54" t="s">
        <v>43</v>
      </c>
      <c r="N117" s="54" t="s">
        <v>43</v>
      </c>
      <c r="O117" s="54" t="s">
        <v>43</v>
      </c>
      <c r="P117" s="54" t="s">
        <v>43</v>
      </c>
      <c r="Q117" s="54" t="s">
        <v>43</v>
      </c>
      <c r="R117" s="140" t="s">
        <v>116</v>
      </c>
      <c r="S117" s="94" t="s">
        <v>0</v>
      </c>
      <c r="T117" s="59">
        <f>2300+20572-19997.4-439+45+48+203.1-4</f>
        <v>2727.6999999999985</v>
      </c>
      <c r="U117" s="59">
        <f>7300+715</f>
        <v>8015</v>
      </c>
      <c r="V117" s="59">
        <f>3500+2115-846.5</f>
        <v>4768.5</v>
      </c>
      <c r="W117" s="59">
        <v>5200</v>
      </c>
      <c r="X117" s="59">
        <v>5200</v>
      </c>
      <c r="Y117" s="59">
        <v>5200</v>
      </c>
      <c r="Z117" s="59">
        <v>5200</v>
      </c>
      <c r="AA117" s="59">
        <f>SUM(T117:Z117)</f>
        <v>36311.199999999997</v>
      </c>
      <c r="AB117" s="58">
        <v>2024</v>
      </c>
      <c r="AC117" s="123"/>
      <c r="AD117" s="109"/>
      <c r="AE117" s="109"/>
      <c r="AF117" s="109"/>
    </row>
    <row r="118" spans="1:32" s="72" customFormat="1" ht="47.25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40" t="s">
        <v>117</v>
      </c>
      <c r="S118" s="41" t="s">
        <v>50</v>
      </c>
      <c r="T118" s="2">
        <v>8</v>
      </c>
      <c r="U118" s="2">
        <v>10</v>
      </c>
      <c r="V118" s="2">
        <v>10</v>
      </c>
      <c r="W118" s="2">
        <v>10</v>
      </c>
      <c r="X118" s="2">
        <v>10</v>
      </c>
      <c r="Y118" s="2">
        <v>10</v>
      </c>
      <c r="Z118" s="2">
        <v>10</v>
      </c>
      <c r="AA118" s="45">
        <v>10</v>
      </c>
      <c r="AB118" s="41">
        <v>2024</v>
      </c>
      <c r="AC118" s="33"/>
      <c r="AD118" s="102"/>
    </row>
    <row r="119" spans="1:32" ht="31.5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61" t="s">
        <v>118</v>
      </c>
      <c r="S119" s="142" t="s">
        <v>50</v>
      </c>
      <c r="T119" s="2">
        <v>0</v>
      </c>
      <c r="U119" s="2">
        <v>649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45">
        <f>SUM(T119:Z119)</f>
        <v>649</v>
      </c>
      <c r="AB119" s="142">
        <v>2019</v>
      </c>
      <c r="AC119" s="33"/>
      <c r="AD119" s="102"/>
    </row>
    <row r="120" spans="1:32" s="72" customFormat="1" ht="31.5" x14ac:dyDescent="0.25">
      <c r="A120" s="54" t="s">
        <v>18</v>
      </c>
      <c r="B120" s="54" t="s">
        <v>19</v>
      </c>
      <c r="C120" s="54" t="s">
        <v>20</v>
      </c>
      <c r="D120" s="54" t="s">
        <v>18</v>
      </c>
      <c r="E120" s="54" t="s">
        <v>21</v>
      </c>
      <c r="F120" s="54" t="s">
        <v>18</v>
      </c>
      <c r="G120" s="54" t="s">
        <v>22</v>
      </c>
      <c r="H120" s="54" t="s">
        <v>19</v>
      </c>
      <c r="I120" s="54" t="s">
        <v>24</v>
      </c>
      <c r="J120" s="54" t="s">
        <v>18</v>
      </c>
      <c r="K120" s="54" t="s">
        <v>18</v>
      </c>
      <c r="L120" s="54" t="s">
        <v>19</v>
      </c>
      <c r="M120" s="54" t="s">
        <v>43</v>
      </c>
      <c r="N120" s="54" t="s">
        <v>43</v>
      </c>
      <c r="O120" s="54" t="s">
        <v>43</v>
      </c>
      <c r="P120" s="54" t="s">
        <v>43</v>
      </c>
      <c r="Q120" s="54" t="s">
        <v>43</v>
      </c>
      <c r="R120" s="141" t="s">
        <v>119</v>
      </c>
      <c r="S120" s="58" t="s">
        <v>0</v>
      </c>
      <c r="T120" s="59">
        <f>102300-550-5000-1550.7+43.1+12-12</f>
        <v>95242.400000000009</v>
      </c>
      <c r="U120" s="59">
        <f>83000-4000+50</f>
        <v>79050</v>
      </c>
      <c r="V120" s="59">
        <f>89143.1+50</f>
        <v>89193.1</v>
      </c>
      <c r="W120" s="59">
        <v>89143.1</v>
      </c>
      <c r="X120" s="59">
        <v>89143.1</v>
      </c>
      <c r="Y120" s="59">
        <v>89143.1</v>
      </c>
      <c r="Z120" s="59">
        <v>89143.1</v>
      </c>
      <c r="AA120" s="59">
        <f>SUM(T120:Z120)</f>
        <v>620057.89999999991</v>
      </c>
      <c r="AB120" s="58">
        <v>2024</v>
      </c>
      <c r="AC120" s="33"/>
    </row>
    <row r="121" spans="1:32" s="72" customFormat="1" ht="31.5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48" t="s">
        <v>120</v>
      </c>
      <c r="S121" s="41" t="s">
        <v>52</v>
      </c>
      <c r="T121" s="4">
        <v>3.7</v>
      </c>
      <c r="U121" s="4">
        <v>3.8</v>
      </c>
      <c r="V121" s="4">
        <v>3.7</v>
      </c>
      <c r="W121" s="4">
        <v>3.7</v>
      </c>
      <c r="X121" s="4">
        <v>3.7</v>
      </c>
      <c r="Y121" s="4">
        <v>3.7</v>
      </c>
      <c r="Z121" s="4">
        <v>3.7</v>
      </c>
      <c r="AA121" s="6">
        <v>3.7</v>
      </c>
      <c r="AB121" s="41">
        <v>2024</v>
      </c>
      <c r="AC121" s="33"/>
    </row>
    <row r="122" spans="1:32" ht="47.25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 t="s">
        <v>121</v>
      </c>
      <c r="S122" s="41" t="s">
        <v>50</v>
      </c>
      <c r="T122" s="44">
        <v>87</v>
      </c>
      <c r="U122" s="44">
        <v>74</v>
      </c>
      <c r="V122" s="44">
        <v>74</v>
      </c>
      <c r="W122" s="44">
        <v>70</v>
      </c>
      <c r="X122" s="44">
        <v>70</v>
      </c>
      <c r="Y122" s="44">
        <v>70</v>
      </c>
      <c r="Z122" s="44">
        <v>70</v>
      </c>
      <c r="AA122" s="49">
        <v>74</v>
      </c>
      <c r="AB122" s="41">
        <v>2024</v>
      </c>
      <c r="AC122" s="123"/>
      <c r="AD122" s="102"/>
    </row>
    <row r="123" spans="1:32" ht="47.4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61" t="s">
        <v>122</v>
      </c>
      <c r="S123" s="142" t="s">
        <v>50</v>
      </c>
      <c r="T123" s="2">
        <v>2400</v>
      </c>
      <c r="U123" s="44">
        <v>2400</v>
      </c>
      <c r="V123" s="44">
        <v>4059</v>
      </c>
      <c r="W123" s="44">
        <v>3100</v>
      </c>
      <c r="X123" s="44">
        <v>3100</v>
      </c>
      <c r="Y123" s="44">
        <v>3100</v>
      </c>
      <c r="Z123" s="44">
        <v>3100</v>
      </c>
      <c r="AA123" s="49">
        <f>SUM(T123:Z123)</f>
        <v>21259</v>
      </c>
      <c r="AB123" s="41">
        <v>2024</v>
      </c>
      <c r="AC123" s="123"/>
      <c r="AD123" s="102"/>
    </row>
    <row r="124" spans="1:32" ht="47.25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61" t="s">
        <v>123</v>
      </c>
      <c r="S124" s="142" t="s">
        <v>32</v>
      </c>
      <c r="T124" s="4">
        <v>12100</v>
      </c>
      <c r="U124" s="3">
        <v>11300</v>
      </c>
      <c r="V124" s="3">
        <v>16000</v>
      </c>
      <c r="W124" s="3">
        <v>13499</v>
      </c>
      <c r="X124" s="3">
        <v>13499</v>
      </c>
      <c r="Y124" s="3">
        <v>13499</v>
      </c>
      <c r="Z124" s="3">
        <v>13499</v>
      </c>
      <c r="AA124" s="49">
        <f t="shared" ref="AA124:AA125" si="47">SUM(T124:Z124)</f>
        <v>93396</v>
      </c>
      <c r="AB124" s="41">
        <v>2024</v>
      </c>
      <c r="AC124" s="123"/>
      <c r="AD124" s="102"/>
    </row>
    <row r="125" spans="1:32" s="51" customFormat="1" ht="30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61" t="s">
        <v>124</v>
      </c>
      <c r="S125" s="142" t="s">
        <v>34</v>
      </c>
      <c r="T125" s="4">
        <v>8969</v>
      </c>
      <c r="U125" s="3">
        <v>9945</v>
      </c>
      <c r="V125" s="3">
        <v>10275</v>
      </c>
      <c r="W125" s="3">
        <v>12053</v>
      </c>
      <c r="X125" s="3">
        <v>12053</v>
      </c>
      <c r="Y125" s="3">
        <v>12053</v>
      </c>
      <c r="Z125" s="3">
        <v>12053</v>
      </c>
      <c r="AA125" s="49">
        <f t="shared" si="47"/>
        <v>77401</v>
      </c>
      <c r="AB125" s="41">
        <v>2024</v>
      </c>
      <c r="AC125" s="123"/>
      <c r="AD125" s="102"/>
    </row>
    <row r="126" spans="1:32" s="51" customFormat="1" ht="31.5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40" t="s">
        <v>125</v>
      </c>
      <c r="S126" s="41" t="s">
        <v>52</v>
      </c>
      <c r="T126" s="3">
        <v>2557</v>
      </c>
      <c r="U126" s="3">
        <v>2220.9</v>
      </c>
      <c r="V126" s="3">
        <v>2165.9</v>
      </c>
      <c r="W126" s="3">
        <v>2221</v>
      </c>
      <c r="X126" s="3">
        <v>2221</v>
      </c>
      <c r="Y126" s="3">
        <v>2221</v>
      </c>
      <c r="Z126" s="3">
        <v>2221</v>
      </c>
      <c r="AA126" s="6">
        <f>Z126</f>
        <v>2221</v>
      </c>
      <c r="AB126" s="41">
        <v>2024</v>
      </c>
      <c r="AC126" s="33"/>
    </row>
    <row r="127" spans="1:32" ht="63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48" t="s">
        <v>126</v>
      </c>
      <c r="S127" s="41" t="s">
        <v>36</v>
      </c>
      <c r="T127" s="44">
        <v>247</v>
      </c>
      <c r="U127" s="44">
        <v>247</v>
      </c>
      <c r="V127" s="44">
        <v>249</v>
      </c>
      <c r="W127" s="44">
        <v>247</v>
      </c>
      <c r="X127" s="44">
        <v>247</v>
      </c>
      <c r="Y127" s="44">
        <v>247</v>
      </c>
      <c r="Z127" s="44">
        <v>247</v>
      </c>
      <c r="AA127" s="49">
        <f>SUM(T127:Z127)</f>
        <v>1731</v>
      </c>
      <c r="AB127" s="41">
        <v>2024</v>
      </c>
      <c r="AC127" s="33"/>
    </row>
    <row r="128" spans="1:32" ht="31.5" x14ac:dyDescent="0.25">
      <c r="A128" s="54" t="s">
        <v>18</v>
      </c>
      <c r="B128" s="54" t="s">
        <v>19</v>
      </c>
      <c r="C128" s="54" t="s">
        <v>24</v>
      </c>
      <c r="D128" s="54" t="s">
        <v>18</v>
      </c>
      <c r="E128" s="54" t="s">
        <v>21</v>
      </c>
      <c r="F128" s="54" t="s">
        <v>18</v>
      </c>
      <c r="G128" s="54" t="s">
        <v>22</v>
      </c>
      <c r="H128" s="54" t="s">
        <v>19</v>
      </c>
      <c r="I128" s="54" t="s">
        <v>24</v>
      </c>
      <c r="J128" s="54" t="s">
        <v>18</v>
      </c>
      <c r="K128" s="54" t="s">
        <v>18</v>
      </c>
      <c r="L128" s="54" t="s">
        <v>19</v>
      </c>
      <c r="M128" s="54" t="s">
        <v>43</v>
      </c>
      <c r="N128" s="54" t="s">
        <v>43</v>
      </c>
      <c r="O128" s="54" t="s">
        <v>43</v>
      </c>
      <c r="P128" s="54" t="s">
        <v>43</v>
      </c>
      <c r="Q128" s="54" t="s">
        <v>43</v>
      </c>
      <c r="R128" s="68" t="s">
        <v>127</v>
      </c>
      <c r="S128" s="94" t="s">
        <v>0</v>
      </c>
      <c r="T128" s="59">
        <f>0+236</f>
        <v>236</v>
      </c>
      <c r="U128" s="59">
        <f>1036-229-48-141.6</f>
        <v>617.4</v>
      </c>
      <c r="V128" s="59">
        <f>1036-150-281.7-227.2</f>
        <v>377.09999999999997</v>
      </c>
      <c r="W128" s="59">
        <v>886</v>
      </c>
      <c r="X128" s="59">
        <v>886</v>
      </c>
      <c r="Y128" s="59">
        <v>886</v>
      </c>
      <c r="Z128" s="59">
        <v>886</v>
      </c>
      <c r="AA128" s="59">
        <f>SUM(T128:Z128)</f>
        <v>4774.5</v>
      </c>
      <c r="AB128" s="58">
        <v>2024</v>
      </c>
      <c r="AC128" s="33"/>
    </row>
    <row r="129" spans="1:32" ht="31.5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61" t="s">
        <v>128</v>
      </c>
      <c r="S129" s="142" t="s">
        <v>50</v>
      </c>
      <c r="T129" s="2">
        <v>0</v>
      </c>
      <c r="U129" s="2">
        <v>1</v>
      </c>
      <c r="V129" s="2">
        <v>0</v>
      </c>
      <c r="W129" s="2">
        <v>0</v>
      </c>
      <c r="X129" s="2">
        <v>5</v>
      </c>
      <c r="Y129" s="2">
        <v>5</v>
      </c>
      <c r="Z129" s="2">
        <v>5</v>
      </c>
      <c r="AA129" s="49">
        <f>SUM(U129:Z129)</f>
        <v>16</v>
      </c>
      <c r="AB129" s="41">
        <v>2024</v>
      </c>
      <c r="AC129" s="123"/>
      <c r="AD129" s="109"/>
      <c r="AE129" s="109"/>
      <c r="AF129" s="109"/>
    </row>
    <row r="130" spans="1:32" ht="31.5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61" t="s">
        <v>179</v>
      </c>
      <c r="S130" s="142" t="s">
        <v>50</v>
      </c>
      <c r="T130" s="2">
        <v>3</v>
      </c>
      <c r="U130" s="2">
        <f>5-1</f>
        <v>4</v>
      </c>
      <c r="V130" s="2">
        <f t="shared" ref="V130:Z130" si="48">5-1</f>
        <v>4</v>
      </c>
      <c r="W130" s="2">
        <f t="shared" si="48"/>
        <v>4</v>
      </c>
      <c r="X130" s="2">
        <f t="shared" si="48"/>
        <v>4</v>
      </c>
      <c r="Y130" s="2">
        <f t="shared" si="48"/>
        <v>4</v>
      </c>
      <c r="Z130" s="2">
        <f t="shared" si="48"/>
        <v>4</v>
      </c>
      <c r="AA130" s="49">
        <v>4</v>
      </c>
      <c r="AB130" s="41">
        <v>2024</v>
      </c>
      <c r="AC130" s="33"/>
      <c r="AD130" s="109"/>
      <c r="AE130" s="109"/>
      <c r="AF130" s="109"/>
    </row>
    <row r="131" spans="1:32" ht="31.5" x14ac:dyDescent="0.25">
      <c r="A131" s="54" t="s">
        <v>18</v>
      </c>
      <c r="B131" s="54" t="s">
        <v>19</v>
      </c>
      <c r="C131" s="54" t="s">
        <v>20</v>
      </c>
      <c r="D131" s="54" t="s">
        <v>18</v>
      </c>
      <c r="E131" s="54" t="s">
        <v>21</v>
      </c>
      <c r="F131" s="54" t="s">
        <v>18</v>
      </c>
      <c r="G131" s="54" t="s">
        <v>22</v>
      </c>
      <c r="H131" s="54" t="s">
        <v>19</v>
      </c>
      <c r="I131" s="54" t="s">
        <v>24</v>
      </c>
      <c r="J131" s="54" t="s">
        <v>18</v>
      </c>
      <c r="K131" s="54" t="s">
        <v>18</v>
      </c>
      <c r="L131" s="54" t="s">
        <v>19</v>
      </c>
      <c r="M131" s="54" t="s">
        <v>43</v>
      </c>
      <c r="N131" s="54" t="s">
        <v>43</v>
      </c>
      <c r="O131" s="54" t="s">
        <v>43</v>
      </c>
      <c r="P131" s="54" t="s">
        <v>43</v>
      </c>
      <c r="Q131" s="54" t="s">
        <v>43</v>
      </c>
      <c r="R131" s="68" t="s">
        <v>174</v>
      </c>
      <c r="S131" s="94" t="s">
        <v>0</v>
      </c>
      <c r="T131" s="59">
        <f>0+550+1550.7</f>
        <v>2100.6999999999998</v>
      </c>
      <c r="U131" s="59">
        <f>0+4000</f>
        <v>4000</v>
      </c>
      <c r="V131" s="59">
        <f>0</f>
        <v>0</v>
      </c>
      <c r="W131" s="59">
        <f>0</f>
        <v>0</v>
      </c>
      <c r="X131" s="59">
        <f>0</f>
        <v>0</v>
      </c>
      <c r="Y131" s="59">
        <f>0</f>
        <v>0</v>
      </c>
      <c r="Z131" s="59">
        <f>0</f>
        <v>0</v>
      </c>
      <c r="AA131" s="59">
        <f>SUM(T131:Z131)</f>
        <v>6100.7</v>
      </c>
      <c r="AB131" s="58">
        <v>2019</v>
      </c>
      <c r="AC131" s="33"/>
    </row>
    <row r="132" spans="1:32" ht="30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61" t="s">
        <v>173</v>
      </c>
      <c r="S132" s="142" t="s">
        <v>38</v>
      </c>
      <c r="T132" s="2">
        <v>2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49">
        <f>SUM(T132:Z132)</f>
        <v>3</v>
      </c>
      <c r="AB132" s="41">
        <v>2019</v>
      </c>
      <c r="AC132" s="123"/>
      <c r="AD132" s="109"/>
      <c r="AE132" s="109"/>
      <c r="AF132" s="109"/>
    </row>
    <row r="133" spans="1:32" ht="15.6" customHeight="1" x14ac:dyDescent="0.25">
      <c r="A133" s="54"/>
      <c r="B133" s="54"/>
      <c r="C133" s="54"/>
      <c r="D133" s="54" t="s">
        <v>18</v>
      </c>
      <c r="E133" s="54" t="s">
        <v>21</v>
      </c>
      <c r="F133" s="54" t="s">
        <v>18</v>
      </c>
      <c r="G133" s="54" t="s">
        <v>22</v>
      </c>
      <c r="H133" s="54" t="s">
        <v>19</v>
      </c>
      <c r="I133" s="54" t="s">
        <v>24</v>
      </c>
      <c r="J133" s="54" t="s">
        <v>18</v>
      </c>
      <c r="K133" s="54" t="s">
        <v>18</v>
      </c>
      <c r="L133" s="54" t="s">
        <v>18</v>
      </c>
      <c r="M133" s="54" t="s">
        <v>18</v>
      </c>
      <c r="N133" s="54" t="s">
        <v>18</v>
      </c>
      <c r="O133" s="54" t="s">
        <v>18</v>
      </c>
      <c r="P133" s="54" t="s">
        <v>18</v>
      </c>
      <c r="Q133" s="54" t="s">
        <v>18</v>
      </c>
      <c r="R133" s="157" t="s">
        <v>286</v>
      </c>
      <c r="S133" s="55" t="s">
        <v>0</v>
      </c>
      <c r="T133" s="59">
        <v>0</v>
      </c>
      <c r="U133" s="59">
        <f>SUM(U134:U137)</f>
        <v>116632.7</v>
      </c>
      <c r="V133" s="59">
        <f>V135+V134+V136+V137+V138</f>
        <v>125649.7</v>
      </c>
      <c r="W133" s="59">
        <f>SUM(W134:W137)</f>
        <v>82235.400000000009</v>
      </c>
      <c r="X133" s="59">
        <f t="shared" ref="X133:Z133" si="49">X135</f>
        <v>5000</v>
      </c>
      <c r="Y133" s="59">
        <f t="shared" si="49"/>
        <v>5000</v>
      </c>
      <c r="Z133" s="59">
        <f t="shared" si="49"/>
        <v>5000</v>
      </c>
      <c r="AA133" s="59">
        <f>SUM(T133:Z133)</f>
        <v>339517.8</v>
      </c>
      <c r="AB133" s="58">
        <v>2024</v>
      </c>
      <c r="AD133" s="104"/>
      <c r="AE133" s="104"/>
    </row>
    <row r="134" spans="1:32" x14ac:dyDescent="0.25">
      <c r="A134" s="54" t="s">
        <v>18</v>
      </c>
      <c r="B134" s="54" t="s">
        <v>19</v>
      </c>
      <c r="C134" s="54" t="s">
        <v>20</v>
      </c>
      <c r="D134" s="54" t="s">
        <v>18</v>
      </c>
      <c r="E134" s="54" t="s">
        <v>21</v>
      </c>
      <c r="F134" s="54" t="s">
        <v>18</v>
      </c>
      <c r="G134" s="54" t="s">
        <v>22</v>
      </c>
      <c r="H134" s="54" t="s">
        <v>19</v>
      </c>
      <c r="I134" s="54" t="s">
        <v>24</v>
      </c>
      <c r="J134" s="54" t="s">
        <v>18</v>
      </c>
      <c r="K134" s="54" t="s">
        <v>265</v>
      </c>
      <c r="L134" s="54" t="s">
        <v>20</v>
      </c>
      <c r="M134" s="54" t="s">
        <v>21</v>
      </c>
      <c r="N134" s="54" t="s">
        <v>21</v>
      </c>
      <c r="O134" s="54" t="s">
        <v>21</v>
      </c>
      <c r="P134" s="54" t="s">
        <v>21</v>
      </c>
      <c r="Q134" s="54" t="s">
        <v>19</v>
      </c>
      <c r="R134" s="158"/>
      <c r="S134" s="55" t="s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59">
        <f>SUM(T134:Z134)</f>
        <v>0</v>
      </c>
      <c r="AB134" s="58">
        <v>2024</v>
      </c>
      <c r="AD134" s="104"/>
      <c r="AE134" s="104"/>
    </row>
    <row r="135" spans="1:32" x14ac:dyDescent="0.25">
      <c r="A135" s="54" t="s">
        <v>18</v>
      </c>
      <c r="B135" s="54" t="s">
        <v>24</v>
      </c>
      <c r="C135" s="54" t="s">
        <v>22</v>
      </c>
      <c r="D135" s="54" t="s">
        <v>18</v>
      </c>
      <c r="E135" s="54" t="s">
        <v>21</v>
      </c>
      <c r="F135" s="54" t="s">
        <v>18</v>
      </c>
      <c r="G135" s="54" t="s">
        <v>22</v>
      </c>
      <c r="H135" s="54" t="s">
        <v>19</v>
      </c>
      <c r="I135" s="54" t="s">
        <v>24</v>
      </c>
      <c r="J135" s="54" t="s">
        <v>18</v>
      </c>
      <c r="K135" s="54" t="s">
        <v>265</v>
      </c>
      <c r="L135" s="54" t="s">
        <v>20</v>
      </c>
      <c r="M135" s="54" t="s">
        <v>21</v>
      </c>
      <c r="N135" s="54" t="s">
        <v>21</v>
      </c>
      <c r="O135" s="54" t="s">
        <v>21</v>
      </c>
      <c r="P135" s="54" t="s">
        <v>21</v>
      </c>
      <c r="Q135" s="54" t="s">
        <v>19</v>
      </c>
      <c r="R135" s="158"/>
      <c r="S135" s="55" t="s">
        <v>0</v>
      </c>
      <c r="T135" s="1">
        <v>0</v>
      </c>
      <c r="U135" s="1">
        <f>115690</f>
        <v>115690</v>
      </c>
      <c r="V135" s="1">
        <v>112612.2</v>
      </c>
      <c r="W135" s="1">
        <v>77969.8</v>
      </c>
      <c r="X135" s="1">
        <v>5000</v>
      </c>
      <c r="Y135" s="1">
        <v>5000</v>
      </c>
      <c r="Z135" s="1">
        <v>5000</v>
      </c>
      <c r="AA135" s="59">
        <f t="shared" ref="AA135:AA137" si="50">SUM(T135:Z135)</f>
        <v>321272</v>
      </c>
      <c r="AB135" s="58">
        <v>2024</v>
      </c>
      <c r="AD135" s="104"/>
      <c r="AE135" s="104"/>
    </row>
    <row r="136" spans="1:32" hidden="1" x14ac:dyDescent="0.25">
      <c r="A136" s="54" t="s">
        <v>18</v>
      </c>
      <c r="B136" s="54" t="s">
        <v>19</v>
      </c>
      <c r="C136" s="54" t="s">
        <v>20</v>
      </c>
      <c r="D136" s="54" t="s">
        <v>18</v>
      </c>
      <c r="E136" s="54" t="s">
        <v>21</v>
      </c>
      <c r="F136" s="54" t="s">
        <v>18</v>
      </c>
      <c r="G136" s="54" t="s">
        <v>22</v>
      </c>
      <c r="H136" s="54" t="s">
        <v>19</v>
      </c>
      <c r="I136" s="54" t="s">
        <v>24</v>
      </c>
      <c r="J136" s="54" t="s">
        <v>18</v>
      </c>
      <c r="K136" s="54" t="s">
        <v>18</v>
      </c>
      <c r="L136" s="54" t="s">
        <v>19</v>
      </c>
      <c r="M136" s="54" t="s">
        <v>43</v>
      </c>
      <c r="N136" s="54" t="s">
        <v>43</v>
      </c>
      <c r="O136" s="54" t="s">
        <v>43</v>
      </c>
      <c r="P136" s="54" t="s">
        <v>43</v>
      </c>
      <c r="Q136" s="54" t="s">
        <v>43</v>
      </c>
      <c r="R136" s="158"/>
      <c r="S136" s="55" t="s">
        <v>0</v>
      </c>
      <c r="T136" s="1">
        <v>0</v>
      </c>
      <c r="U136" s="1">
        <f>840+131.2-50-921.2</f>
        <v>0</v>
      </c>
      <c r="V136" s="1">
        <f>150+100+100-350</f>
        <v>0</v>
      </c>
      <c r="W136" s="1">
        <v>0</v>
      </c>
      <c r="X136" s="1">
        <v>0</v>
      </c>
      <c r="Y136" s="1">
        <v>0</v>
      </c>
      <c r="Z136" s="1">
        <v>0</v>
      </c>
      <c r="AA136" s="59">
        <f t="shared" ref="AA136" si="51">SUM(T136:Z136)</f>
        <v>0</v>
      </c>
      <c r="AB136" s="58">
        <v>2020</v>
      </c>
      <c r="AD136" s="104"/>
      <c r="AE136" s="104"/>
    </row>
    <row r="137" spans="1:32" x14ac:dyDescent="0.25">
      <c r="A137" s="54" t="s">
        <v>18</v>
      </c>
      <c r="B137" s="54" t="s">
        <v>24</v>
      </c>
      <c r="C137" s="54" t="s">
        <v>22</v>
      </c>
      <c r="D137" s="54" t="s">
        <v>18</v>
      </c>
      <c r="E137" s="54" t="s">
        <v>21</v>
      </c>
      <c r="F137" s="54" t="s">
        <v>18</v>
      </c>
      <c r="G137" s="54" t="s">
        <v>22</v>
      </c>
      <c r="H137" s="54" t="s">
        <v>19</v>
      </c>
      <c r="I137" s="54" t="s">
        <v>24</v>
      </c>
      <c r="J137" s="54" t="s">
        <v>18</v>
      </c>
      <c r="K137" s="54" t="s">
        <v>18</v>
      </c>
      <c r="L137" s="54" t="s">
        <v>19</v>
      </c>
      <c r="M137" s="54" t="s">
        <v>43</v>
      </c>
      <c r="N137" s="54" t="s">
        <v>43</v>
      </c>
      <c r="O137" s="54" t="s">
        <v>43</v>
      </c>
      <c r="P137" s="54" t="s">
        <v>43</v>
      </c>
      <c r="Q137" s="54" t="s">
        <v>43</v>
      </c>
      <c r="R137" s="158"/>
      <c r="S137" s="55" t="s">
        <v>0</v>
      </c>
      <c r="T137" s="1">
        <v>0</v>
      </c>
      <c r="U137" s="1">
        <f>2865.5-1232.8-690</f>
        <v>942.7</v>
      </c>
      <c r="V137" s="1">
        <v>4437.5</v>
      </c>
      <c r="W137" s="1">
        <v>4265.6000000000004</v>
      </c>
      <c r="X137" s="1">
        <v>0</v>
      </c>
      <c r="Y137" s="1">
        <v>0</v>
      </c>
      <c r="Z137" s="1">
        <v>0</v>
      </c>
      <c r="AA137" s="59">
        <f t="shared" si="50"/>
        <v>9645.7999999999993</v>
      </c>
      <c r="AB137" s="58">
        <v>2020</v>
      </c>
      <c r="AD137" s="104"/>
      <c r="AE137" s="104"/>
    </row>
    <row r="138" spans="1:32" x14ac:dyDescent="0.25">
      <c r="A138" s="54" t="s">
        <v>18</v>
      </c>
      <c r="B138" s="54" t="s">
        <v>24</v>
      </c>
      <c r="C138" s="54" t="s">
        <v>22</v>
      </c>
      <c r="D138" s="54" t="s">
        <v>18</v>
      </c>
      <c r="E138" s="54" t="s">
        <v>21</v>
      </c>
      <c r="F138" s="54" t="s">
        <v>18</v>
      </c>
      <c r="G138" s="54" t="s">
        <v>21</v>
      </c>
      <c r="H138" s="54" t="s">
        <v>19</v>
      </c>
      <c r="I138" s="54" t="s">
        <v>24</v>
      </c>
      <c r="J138" s="54" t="s">
        <v>18</v>
      </c>
      <c r="K138" s="54" t="s">
        <v>265</v>
      </c>
      <c r="L138" s="54" t="s">
        <v>20</v>
      </c>
      <c r="M138" s="54" t="s">
        <v>21</v>
      </c>
      <c r="N138" s="54" t="s">
        <v>21</v>
      </c>
      <c r="O138" s="54" t="s">
        <v>21</v>
      </c>
      <c r="P138" s="54" t="s">
        <v>21</v>
      </c>
      <c r="Q138" s="54" t="s">
        <v>19</v>
      </c>
      <c r="R138" s="159"/>
      <c r="S138" s="55" t="s">
        <v>0</v>
      </c>
      <c r="T138" s="1">
        <v>0</v>
      </c>
      <c r="U138" s="1">
        <v>0</v>
      </c>
      <c r="V138" s="1">
        <v>8600</v>
      </c>
      <c r="W138" s="1">
        <v>0</v>
      </c>
      <c r="X138" s="1">
        <v>0</v>
      </c>
      <c r="Y138" s="1">
        <v>0</v>
      </c>
      <c r="Z138" s="1">
        <v>0</v>
      </c>
      <c r="AA138" s="59">
        <f t="shared" ref="AA138" si="52">SUM(T138:Z138)</f>
        <v>8600</v>
      </c>
      <c r="AB138" s="58">
        <v>2020</v>
      </c>
      <c r="AD138" s="104"/>
      <c r="AE138" s="104"/>
    </row>
    <row r="139" spans="1:32" ht="31.5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61" t="s">
        <v>74</v>
      </c>
      <c r="S139" s="62" t="s">
        <v>38</v>
      </c>
      <c r="T139" s="2">
        <v>0</v>
      </c>
      <c r="U139" s="2">
        <v>6</v>
      </c>
      <c r="V139" s="44">
        <v>4</v>
      </c>
      <c r="W139" s="44">
        <v>2</v>
      </c>
      <c r="X139" s="2">
        <v>3</v>
      </c>
      <c r="Y139" s="2">
        <v>3</v>
      </c>
      <c r="Z139" s="2">
        <v>3</v>
      </c>
      <c r="AA139" s="49">
        <f>SUM(T139:Z139)</f>
        <v>21</v>
      </c>
      <c r="AB139" s="142">
        <v>2024</v>
      </c>
      <c r="AD139" s="104"/>
      <c r="AE139" s="104"/>
    </row>
    <row r="140" spans="1:32" ht="31.1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61" t="s">
        <v>75</v>
      </c>
      <c r="S140" s="62" t="s">
        <v>52</v>
      </c>
      <c r="T140" s="4">
        <v>0</v>
      </c>
      <c r="U140" s="4">
        <v>58.4</v>
      </c>
      <c r="V140" s="3">
        <f>33.1+13.1</f>
        <v>46.2</v>
      </c>
      <c r="W140" s="3">
        <v>66.5</v>
      </c>
      <c r="X140" s="4">
        <v>64.3</v>
      </c>
      <c r="Y140" s="4">
        <v>64.3</v>
      </c>
      <c r="Z140" s="4">
        <v>64.3</v>
      </c>
      <c r="AA140" s="6">
        <f>SUM(T140:Z140)</f>
        <v>364</v>
      </c>
      <c r="AB140" s="41">
        <v>2024</v>
      </c>
      <c r="AD140" s="104"/>
      <c r="AE140" s="104"/>
    </row>
    <row r="141" spans="1:32" ht="31.5" x14ac:dyDescent="0.25">
      <c r="A141" s="54" t="s">
        <v>18</v>
      </c>
      <c r="B141" s="54" t="s">
        <v>18</v>
      </c>
      <c r="C141" s="54" t="s">
        <v>25</v>
      </c>
      <c r="D141" s="54" t="s">
        <v>18</v>
      </c>
      <c r="E141" s="54" t="s">
        <v>21</v>
      </c>
      <c r="F141" s="54" t="s">
        <v>18</v>
      </c>
      <c r="G141" s="54" t="s">
        <v>22</v>
      </c>
      <c r="H141" s="54" t="s">
        <v>19</v>
      </c>
      <c r="I141" s="54" t="s">
        <v>24</v>
      </c>
      <c r="J141" s="54" t="s">
        <v>18</v>
      </c>
      <c r="K141" s="54" t="s">
        <v>18</v>
      </c>
      <c r="L141" s="54" t="s">
        <v>19</v>
      </c>
      <c r="M141" s="54" t="s">
        <v>19</v>
      </c>
      <c r="N141" s="54" t="s">
        <v>19</v>
      </c>
      <c r="O141" s="54" t="s">
        <v>19</v>
      </c>
      <c r="P141" s="54" t="s">
        <v>177</v>
      </c>
      <c r="Q141" s="54" t="s">
        <v>18</v>
      </c>
      <c r="R141" s="68" t="s">
        <v>333</v>
      </c>
      <c r="S141" s="55" t="s">
        <v>0</v>
      </c>
      <c r="T141" s="59">
        <v>0</v>
      </c>
      <c r="U141" s="59">
        <f>103354.8-103354.8</f>
        <v>0</v>
      </c>
      <c r="V141" s="59">
        <v>1000</v>
      </c>
      <c r="W141" s="59">
        <v>0</v>
      </c>
      <c r="X141" s="59">
        <v>0</v>
      </c>
      <c r="Y141" s="59">
        <v>0</v>
      </c>
      <c r="Z141" s="59">
        <v>0</v>
      </c>
      <c r="AA141" s="59">
        <f>SUM(T141:Y141)</f>
        <v>1000</v>
      </c>
      <c r="AB141" s="58">
        <v>2020</v>
      </c>
      <c r="AD141" s="104"/>
      <c r="AE141" s="104"/>
    </row>
    <row r="142" spans="1:32" ht="31.5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40" t="s">
        <v>332</v>
      </c>
      <c r="S142" s="41" t="s">
        <v>38</v>
      </c>
      <c r="T142" s="44">
        <v>0</v>
      </c>
      <c r="U142" s="44">
        <v>0</v>
      </c>
      <c r="V142" s="44">
        <v>1</v>
      </c>
      <c r="W142" s="44">
        <v>0</v>
      </c>
      <c r="X142" s="44">
        <v>0</v>
      </c>
      <c r="Y142" s="44">
        <v>0</v>
      </c>
      <c r="Z142" s="44">
        <v>0</v>
      </c>
      <c r="AA142" s="49">
        <f t="shared" ref="AA142" si="53">SUM(T142:Y142)</f>
        <v>1</v>
      </c>
      <c r="AB142" s="73">
        <v>2020</v>
      </c>
      <c r="AD142" s="104"/>
      <c r="AE142" s="104"/>
    </row>
    <row r="143" spans="1:32" ht="47.25" x14ac:dyDescent="0.25">
      <c r="A143" s="54"/>
      <c r="B143" s="54"/>
      <c r="C143" s="54"/>
      <c r="D143" s="54" t="s">
        <v>18</v>
      </c>
      <c r="E143" s="54" t="s">
        <v>21</v>
      </c>
      <c r="F143" s="54" t="s">
        <v>18</v>
      </c>
      <c r="G143" s="54" t="s">
        <v>22</v>
      </c>
      <c r="H143" s="54" t="s">
        <v>19</v>
      </c>
      <c r="I143" s="54" t="s">
        <v>24</v>
      </c>
      <c r="J143" s="54" t="s">
        <v>18</v>
      </c>
      <c r="K143" s="54" t="s">
        <v>18</v>
      </c>
      <c r="L143" s="54" t="s">
        <v>19</v>
      </c>
      <c r="M143" s="54" t="s">
        <v>43</v>
      </c>
      <c r="N143" s="54" t="s">
        <v>43</v>
      </c>
      <c r="O143" s="54" t="s">
        <v>43</v>
      </c>
      <c r="P143" s="54" t="s">
        <v>43</v>
      </c>
      <c r="Q143" s="54" t="s">
        <v>43</v>
      </c>
      <c r="R143" s="68" t="s">
        <v>335</v>
      </c>
      <c r="S143" s="58" t="s">
        <v>0</v>
      </c>
      <c r="T143" s="59">
        <v>0</v>
      </c>
      <c r="U143" s="59">
        <f>103354.8-103354.8</f>
        <v>0</v>
      </c>
      <c r="V143" s="59">
        <v>0</v>
      </c>
      <c r="W143" s="59">
        <f t="shared" ref="W143:Z144" si="54">W145+W147+W149+W151</f>
        <v>7000</v>
      </c>
      <c r="X143" s="59">
        <f t="shared" si="54"/>
        <v>7000</v>
      </c>
      <c r="Y143" s="59">
        <f t="shared" si="54"/>
        <v>7000</v>
      </c>
      <c r="Z143" s="59">
        <f t="shared" si="54"/>
        <v>7000</v>
      </c>
      <c r="AA143" s="59">
        <f t="shared" ref="AA143:AA152" si="55">SUM(T143:Z143)</f>
        <v>28000</v>
      </c>
      <c r="AB143" s="58">
        <v>2024</v>
      </c>
      <c r="AD143" s="104"/>
      <c r="AE143" s="104"/>
    </row>
    <row r="144" spans="1:32" ht="47.25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40" t="s">
        <v>350</v>
      </c>
      <c r="S144" s="41" t="s">
        <v>52</v>
      </c>
      <c r="T144" s="44">
        <v>0</v>
      </c>
      <c r="U144" s="44">
        <v>0</v>
      </c>
      <c r="V144" s="44">
        <v>0</v>
      </c>
      <c r="W144" s="3">
        <f t="shared" ref="W144:Y144" si="56">W146+W148+W150+W152</f>
        <v>1153.5999999999999</v>
      </c>
      <c r="X144" s="3">
        <f t="shared" si="56"/>
        <v>1153.5999999999999</v>
      </c>
      <c r="Y144" s="3">
        <f t="shared" si="56"/>
        <v>1153.5999999999999</v>
      </c>
      <c r="Z144" s="3">
        <f t="shared" si="54"/>
        <v>1153.5999999999999</v>
      </c>
      <c r="AA144" s="49">
        <f t="shared" si="55"/>
        <v>4614.3999999999996</v>
      </c>
      <c r="AB144" s="41">
        <v>2024</v>
      </c>
      <c r="AD144" s="104"/>
      <c r="AE144" s="104"/>
    </row>
    <row r="145" spans="1:31" ht="47.25" x14ac:dyDescent="0.25">
      <c r="A145" s="54" t="s">
        <v>18</v>
      </c>
      <c r="B145" s="54" t="s">
        <v>18</v>
      </c>
      <c r="C145" s="54" t="s">
        <v>22</v>
      </c>
      <c r="D145" s="54" t="s">
        <v>18</v>
      </c>
      <c r="E145" s="54" t="s">
        <v>21</v>
      </c>
      <c r="F145" s="54" t="s">
        <v>18</v>
      </c>
      <c r="G145" s="54" t="s">
        <v>22</v>
      </c>
      <c r="H145" s="54" t="s">
        <v>19</v>
      </c>
      <c r="I145" s="54" t="s">
        <v>24</v>
      </c>
      <c r="J145" s="54" t="s">
        <v>18</v>
      </c>
      <c r="K145" s="54" t="s">
        <v>18</v>
      </c>
      <c r="L145" s="54" t="s">
        <v>19</v>
      </c>
      <c r="M145" s="54" t="s">
        <v>43</v>
      </c>
      <c r="N145" s="54" t="s">
        <v>43</v>
      </c>
      <c r="O145" s="54" t="s">
        <v>43</v>
      </c>
      <c r="P145" s="54" t="s">
        <v>43</v>
      </c>
      <c r="Q145" s="54" t="s">
        <v>43</v>
      </c>
      <c r="R145" s="68" t="s">
        <v>335</v>
      </c>
      <c r="S145" s="55" t="s">
        <v>0</v>
      </c>
      <c r="T145" s="59">
        <v>0</v>
      </c>
      <c r="U145" s="59">
        <f t="shared" ref="U145" si="57">103354.8-103354.8</f>
        <v>0</v>
      </c>
      <c r="V145" s="59">
        <v>0</v>
      </c>
      <c r="W145" s="1">
        <v>2000</v>
      </c>
      <c r="X145" s="1">
        <v>2000</v>
      </c>
      <c r="Y145" s="1">
        <v>2000</v>
      </c>
      <c r="Z145" s="1">
        <v>2000</v>
      </c>
      <c r="AA145" s="59">
        <f t="shared" si="55"/>
        <v>8000</v>
      </c>
      <c r="AB145" s="58">
        <v>2024</v>
      </c>
      <c r="AD145" s="104"/>
      <c r="AE145" s="104"/>
    </row>
    <row r="146" spans="1:31" ht="47.25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74" t="s">
        <v>351</v>
      </c>
      <c r="S146" s="41" t="s">
        <v>52</v>
      </c>
      <c r="T146" s="44">
        <v>0</v>
      </c>
      <c r="U146" s="44">
        <v>0</v>
      </c>
      <c r="V146" s="44">
        <v>0</v>
      </c>
      <c r="W146" s="3">
        <v>312</v>
      </c>
      <c r="X146" s="3">
        <v>312</v>
      </c>
      <c r="Y146" s="3">
        <v>312</v>
      </c>
      <c r="Z146" s="3">
        <v>312</v>
      </c>
      <c r="AA146" s="6">
        <f t="shared" si="55"/>
        <v>1248</v>
      </c>
      <c r="AB146" s="41">
        <v>2024</v>
      </c>
      <c r="AD146" s="104"/>
      <c r="AE146" s="104"/>
    </row>
    <row r="147" spans="1:31" ht="47.25" x14ac:dyDescent="0.25">
      <c r="A147" s="54" t="s">
        <v>18</v>
      </c>
      <c r="B147" s="54" t="s">
        <v>18</v>
      </c>
      <c r="C147" s="54" t="s">
        <v>24</v>
      </c>
      <c r="D147" s="54" t="s">
        <v>18</v>
      </c>
      <c r="E147" s="54" t="s">
        <v>21</v>
      </c>
      <c r="F147" s="54" t="s">
        <v>18</v>
      </c>
      <c r="G147" s="54" t="s">
        <v>22</v>
      </c>
      <c r="H147" s="54" t="s">
        <v>19</v>
      </c>
      <c r="I147" s="54" t="s">
        <v>24</v>
      </c>
      <c r="J147" s="54" t="s">
        <v>18</v>
      </c>
      <c r="K147" s="54" t="s">
        <v>18</v>
      </c>
      <c r="L147" s="54" t="s">
        <v>19</v>
      </c>
      <c r="M147" s="54" t="s">
        <v>43</v>
      </c>
      <c r="N147" s="54" t="s">
        <v>43</v>
      </c>
      <c r="O147" s="54" t="s">
        <v>43</v>
      </c>
      <c r="P147" s="54" t="s">
        <v>43</v>
      </c>
      <c r="Q147" s="54" t="s">
        <v>43</v>
      </c>
      <c r="R147" s="68" t="s">
        <v>335</v>
      </c>
      <c r="S147" s="55" t="s">
        <v>0</v>
      </c>
      <c r="T147" s="59">
        <v>0</v>
      </c>
      <c r="U147" s="59">
        <f t="shared" ref="U147" si="58">103354.8-103354.8</f>
        <v>0</v>
      </c>
      <c r="V147" s="59">
        <v>0</v>
      </c>
      <c r="W147" s="1">
        <v>1500</v>
      </c>
      <c r="X147" s="1">
        <v>1500</v>
      </c>
      <c r="Y147" s="1">
        <v>1500</v>
      </c>
      <c r="Z147" s="1">
        <v>1500</v>
      </c>
      <c r="AA147" s="59">
        <f t="shared" si="55"/>
        <v>6000</v>
      </c>
      <c r="AB147" s="58">
        <v>2024</v>
      </c>
      <c r="AD147" s="104"/>
      <c r="AE147" s="104"/>
    </row>
    <row r="148" spans="1:31" ht="47.25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61" t="s">
        <v>352</v>
      </c>
      <c r="S148" s="41" t="s">
        <v>52</v>
      </c>
      <c r="T148" s="44">
        <v>0</v>
      </c>
      <c r="U148" s="44">
        <v>0</v>
      </c>
      <c r="V148" s="44">
        <v>0</v>
      </c>
      <c r="W148" s="3">
        <v>295.60000000000002</v>
      </c>
      <c r="X148" s="3">
        <v>295.60000000000002</v>
      </c>
      <c r="Y148" s="3">
        <v>295.60000000000002</v>
      </c>
      <c r="Z148" s="3">
        <v>295.60000000000002</v>
      </c>
      <c r="AA148" s="6">
        <f t="shared" si="55"/>
        <v>1182.4000000000001</v>
      </c>
      <c r="AB148" s="41">
        <v>2024</v>
      </c>
      <c r="AD148" s="104"/>
      <c r="AE148" s="104"/>
    </row>
    <row r="149" spans="1:31" ht="47.25" x14ac:dyDescent="0.25">
      <c r="A149" s="54" t="s">
        <v>18</v>
      </c>
      <c r="B149" s="54" t="s">
        <v>18</v>
      </c>
      <c r="C149" s="54" t="s">
        <v>21</v>
      </c>
      <c r="D149" s="54" t="s">
        <v>18</v>
      </c>
      <c r="E149" s="54" t="s">
        <v>21</v>
      </c>
      <c r="F149" s="54" t="s">
        <v>18</v>
      </c>
      <c r="G149" s="54" t="s">
        <v>22</v>
      </c>
      <c r="H149" s="54" t="s">
        <v>19</v>
      </c>
      <c r="I149" s="54" t="s">
        <v>24</v>
      </c>
      <c r="J149" s="54" t="s">
        <v>18</v>
      </c>
      <c r="K149" s="54" t="s">
        <v>18</v>
      </c>
      <c r="L149" s="54" t="s">
        <v>19</v>
      </c>
      <c r="M149" s="54" t="s">
        <v>43</v>
      </c>
      <c r="N149" s="54" t="s">
        <v>43</v>
      </c>
      <c r="O149" s="54" t="s">
        <v>43</v>
      </c>
      <c r="P149" s="54" t="s">
        <v>43</v>
      </c>
      <c r="Q149" s="54" t="s">
        <v>43</v>
      </c>
      <c r="R149" s="68" t="s">
        <v>335</v>
      </c>
      <c r="S149" s="55" t="s">
        <v>0</v>
      </c>
      <c r="T149" s="59">
        <v>0</v>
      </c>
      <c r="U149" s="59">
        <f t="shared" ref="U149" si="59">103354.8-103354.8</f>
        <v>0</v>
      </c>
      <c r="V149" s="59">
        <v>0</v>
      </c>
      <c r="W149" s="1">
        <v>2000</v>
      </c>
      <c r="X149" s="1">
        <v>2000</v>
      </c>
      <c r="Y149" s="1">
        <v>2000</v>
      </c>
      <c r="Z149" s="1">
        <v>2000</v>
      </c>
      <c r="AA149" s="59">
        <f t="shared" si="55"/>
        <v>8000</v>
      </c>
      <c r="AB149" s="58">
        <v>2024</v>
      </c>
      <c r="AD149" s="104"/>
      <c r="AE149" s="104"/>
    </row>
    <row r="150" spans="1:31" ht="47.25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40" t="s">
        <v>353</v>
      </c>
      <c r="S150" s="41" t="s">
        <v>52</v>
      </c>
      <c r="T150" s="44">
        <v>0</v>
      </c>
      <c r="U150" s="44">
        <v>0</v>
      </c>
      <c r="V150" s="44">
        <v>0</v>
      </c>
      <c r="W150" s="3">
        <v>312</v>
      </c>
      <c r="X150" s="3">
        <v>312</v>
      </c>
      <c r="Y150" s="3">
        <v>312</v>
      </c>
      <c r="Z150" s="3">
        <v>312</v>
      </c>
      <c r="AA150" s="6">
        <f t="shared" si="55"/>
        <v>1248</v>
      </c>
      <c r="AB150" s="41">
        <v>2024</v>
      </c>
      <c r="AD150" s="104"/>
      <c r="AE150" s="104"/>
    </row>
    <row r="151" spans="1:31" ht="47.25" x14ac:dyDescent="0.25">
      <c r="A151" s="54" t="s">
        <v>18</v>
      </c>
      <c r="B151" s="54" t="s">
        <v>18</v>
      </c>
      <c r="C151" s="54" t="s">
        <v>25</v>
      </c>
      <c r="D151" s="54" t="s">
        <v>18</v>
      </c>
      <c r="E151" s="54" t="s">
        <v>21</v>
      </c>
      <c r="F151" s="54" t="s">
        <v>18</v>
      </c>
      <c r="G151" s="54" t="s">
        <v>22</v>
      </c>
      <c r="H151" s="54" t="s">
        <v>19</v>
      </c>
      <c r="I151" s="54" t="s">
        <v>24</v>
      </c>
      <c r="J151" s="54" t="s">
        <v>18</v>
      </c>
      <c r="K151" s="54" t="s">
        <v>18</v>
      </c>
      <c r="L151" s="54" t="s">
        <v>19</v>
      </c>
      <c r="M151" s="54" t="s">
        <v>43</v>
      </c>
      <c r="N151" s="54" t="s">
        <v>43</v>
      </c>
      <c r="O151" s="54" t="s">
        <v>43</v>
      </c>
      <c r="P151" s="54" t="s">
        <v>43</v>
      </c>
      <c r="Q151" s="54" t="s">
        <v>43</v>
      </c>
      <c r="R151" s="68" t="s">
        <v>335</v>
      </c>
      <c r="S151" s="55" t="s">
        <v>0</v>
      </c>
      <c r="T151" s="59">
        <v>0</v>
      </c>
      <c r="U151" s="59">
        <f t="shared" ref="U151" si="60">103354.8-103354.8</f>
        <v>0</v>
      </c>
      <c r="V151" s="59">
        <v>0</v>
      </c>
      <c r="W151" s="1">
        <v>1500</v>
      </c>
      <c r="X151" s="1">
        <v>1500</v>
      </c>
      <c r="Y151" s="1">
        <v>1500</v>
      </c>
      <c r="Z151" s="1">
        <v>1500</v>
      </c>
      <c r="AA151" s="59">
        <f t="shared" si="55"/>
        <v>6000</v>
      </c>
      <c r="AB151" s="58">
        <v>2024</v>
      </c>
      <c r="AD151" s="104"/>
      <c r="AE151" s="104"/>
    </row>
    <row r="152" spans="1:31" ht="47.25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40" t="s">
        <v>354</v>
      </c>
      <c r="S152" s="41" t="s">
        <v>52</v>
      </c>
      <c r="T152" s="44">
        <v>0</v>
      </c>
      <c r="U152" s="44">
        <v>0</v>
      </c>
      <c r="V152" s="44">
        <v>0</v>
      </c>
      <c r="W152" s="3">
        <v>234</v>
      </c>
      <c r="X152" s="3">
        <v>234</v>
      </c>
      <c r="Y152" s="3">
        <v>234</v>
      </c>
      <c r="Z152" s="3">
        <v>234</v>
      </c>
      <c r="AA152" s="6">
        <f t="shared" si="55"/>
        <v>936</v>
      </c>
      <c r="AB152" s="41">
        <v>2024</v>
      </c>
      <c r="AD152" s="104"/>
      <c r="AE152" s="104"/>
    </row>
    <row r="153" spans="1:31" s="51" customFormat="1" ht="31.5" x14ac:dyDescent="0.25">
      <c r="A153" s="46"/>
      <c r="B153" s="46"/>
      <c r="C153" s="46"/>
      <c r="D153" s="46"/>
      <c r="E153" s="46"/>
      <c r="F153" s="46"/>
      <c r="G153" s="46"/>
      <c r="H153" s="46" t="s">
        <v>19</v>
      </c>
      <c r="I153" s="46" t="s">
        <v>24</v>
      </c>
      <c r="J153" s="46" t="s">
        <v>18</v>
      </c>
      <c r="K153" s="46" t="s">
        <v>18</v>
      </c>
      <c r="L153" s="46" t="s">
        <v>20</v>
      </c>
      <c r="M153" s="46" t="s">
        <v>18</v>
      </c>
      <c r="N153" s="46" t="s">
        <v>18</v>
      </c>
      <c r="O153" s="46" t="s">
        <v>18</v>
      </c>
      <c r="P153" s="46" t="s">
        <v>18</v>
      </c>
      <c r="Q153" s="46" t="s">
        <v>18</v>
      </c>
      <c r="R153" s="75" t="s">
        <v>56</v>
      </c>
      <c r="S153" s="149" t="s">
        <v>0</v>
      </c>
      <c r="T153" s="148">
        <f>T176+T219+T162+T474</f>
        <v>147061.215</v>
      </c>
      <c r="U153" s="148">
        <f>U176+U219+U162+U474</f>
        <v>108807.59999999998</v>
      </c>
      <c r="V153" s="148">
        <f>V176+V219+V162+V474</f>
        <v>7655.1</v>
      </c>
      <c r="W153" s="148">
        <f>W176+W219+W162+W474+W494</f>
        <v>21089.1</v>
      </c>
      <c r="X153" s="148">
        <f t="shared" ref="X153:Z153" si="61">X176+X219+X162+X474+X494</f>
        <v>10000</v>
      </c>
      <c r="Y153" s="148">
        <f t="shared" si="61"/>
        <v>10000</v>
      </c>
      <c r="Z153" s="148">
        <f t="shared" si="61"/>
        <v>18990.3</v>
      </c>
      <c r="AA153" s="148">
        <f>SUM(T153:Z153)</f>
        <v>323603.31499999994</v>
      </c>
      <c r="AB153" s="149">
        <v>2024</v>
      </c>
      <c r="AC153" s="111"/>
      <c r="AD153" s="50"/>
    </row>
    <row r="154" spans="1:31" s="51" customFormat="1" ht="31.5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237</v>
      </c>
      <c r="S154" s="41" t="s">
        <v>38</v>
      </c>
      <c r="T154" s="2">
        <f t="shared" ref="T154:V154" si="62">T475+T181+T221</f>
        <v>58</v>
      </c>
      <c r="U154" s="44">
        <f>U475+U181+U221</f>
        <v>42</v>
      </c>
      <c r="V154" s="2">
        <f t="shared" si="62"/>
        <v>7</v>
      </c>
      <c r="W154" s="2">
        <f>W475+W181+W221+W496</f>
        <v>7</v>
      </c>
      <c r="X154" s="2">
        <f t="shared" ref="X154:Z154" si="63">X475+X181+X221+X496</f>
        <v>10</v>
      </c>
      <c r="Y154" s="2">
        <f t="shared" si="63"/>
        <v>10</v>
      </c>
      <c r="Z154" s="2">
        <f t="shared" si="63"/>
        <v>37</v>
      </c>
      <c r="AA154" s="45">
        <f>SUM(T154:Z154)</f>
        <v>171</v>
      </c>
      <c r="AB154" s="41">
        <v>2024</v>
      </c>
      <c r="AC154" s="91"/>
      <c r="AD154" s="50"/>
    </row>
    <row r="155" spans="1:31" s="51" customFormat="1" ht="31.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238</v>
      </c>
      <c r="S155" s="41" t="s">
        <v>52</v>
      </c>
      <c r="T155" s="4">
        <f>T475+T179+T220</f>
        <v>63</v>
      </c>
      <c r="U155" s="4">
        <f t="shared" ref="U155:V155" si="64">U476+U179+U220</f>
        <v>42.2</v>
      </c>
      <c r="V155" s="4">
        <f t="shared" si="64"/>
        <v>1.7000000000000002</v>
      </c>
      <c r="W155" s="4">
        <f>W476+W179+W220+W495</f>
        <v>9</v>
      </c>
      <c r="X155" s="4">
        <f t="shared" ref="X155:Z155" si="65">X476+X179+X220+X495</f>
        <v>10</v>
      </c>
      <c r="Y155" s="4">
        <f t="shared" si="65"/>
        <v>10</v>
      </c>
      <c r="Z155" s="4">
        <f t="shared" si="65"/>
        <v>65.2</v>
      </c>
      <c r="AA155" s="5">
        <f>SUM(T155:Z155)</f>
        <v>201.10000000000002</v>
      </c>
      <c r="AB155" s="41">
        <v>2024</v>
      </c>
      <c r="AC155" s="111"/>
      <c r="AD155" s="50"/>
    </row>
    <row r="156" spans="1:31" s="8" customFormat="1" ht="47.25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61" t="s">
        <v>129</v>
      </c>
      <c r="S156" s="142" t="s">
        <v>9</v>
      </c>
      <c r="T156" s="3">
        <f>((4338+39.6)+63)/13987*100</f>
        <v>31.748051762350755</v>
      </c>
      <c r="U156" s="3">
        <f>((4338+39.6)+T155+U155)/13987*100</f>
        <v>32.049760491885323</v>
      </c>
      <c r="V156" s="3">
        <f>((4338+39.6)+U155+V155+T155)/13987*100</f>
        <v>32.061914635018226</v>
      </c>
      <c r="W156" s="3">
        <f>((4338+39.6)+T155+V155+W155+U155)/13987*100</f>
        <v>32.126260098663046</v>
      </c>
      <c r="X156" s="3">
        <f>((4338+39.6)+T155+U155+W155+X155+V155)/13987*100</f>
        <v>32.197755058268392</v>
      </c>
      <c r="Y156" s="3">
        <f>((4338+39.6)+T155+U155+V155+X155+Y155+W155)/13987*100</f>
        <v>32.269250017873738</v>
      </c>
      <c r="Z156" s="3">
        <f>((4338+39.6)+T155+U155+V155+W155+Y155+Z155+X155)/13987*100</f>
        <v>32.735397154500603</v>
      </c>
      <c r="AA156" s="5">
        <f>Z156</f>
        <v>32.735397154500603</v>
      </c>
      <c r="AB156" s="41">
        <v>2024</v>
      </c>
      <c r="AC156" s="103"/>
      <c r="AD156" s="60"/>
    </row>
    <row r="157" spans="1:31" ht="47.25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5" t="s">
        <v>130</v>
      </c>
      <c r="S157" s="142" t="s">
        <v>9</v>
      </c>
      <c r="T157" s="3">
        <f>30/58*100</f>
        <v>51.724137931034484</v>
      </c>
      <c r="U157" s="3">
        <f>22/42*100</f>
        <v>52.380952380952387</v>
      </c>
      <c r="V157" s="3">
        <f>7/7*100</f>
        <v>100</v>
      </c>
      <c r="W157" s="4">
        <v>91</v>
      </c>
      <c r="X157" s="4">
        <v>91</v>
      </c>
      <c r="Y157" s="4">
        <v>91</v>
      </c>
      <c r="Z157" s="4">
        <v>91</v>
      </c>
      <c r="AA157" s="5">
        <v>91</v>
      </c>
      <c r="AB157" s="41">
        <v>2024</v>
      </c>
      <c r="AC157" s="111"/>
    </row>
    <row r="158" spans="1:31" ht="46.9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5" t="s">
        <v>262</v>
      </c>
      <c r="S158" s="142" t="s">
        <v>263</v>
      </c>
      <c r="T158" s="4">
        <v>0</v>
      </c>
      <c r="U158" s="4">
        <v>0</v>
      </c>
      <c r="V158" s="4">
        <v>0</v>
      </c>
      <c r="W158" s="4">
        <v>23.7</v>
      </c>
      <c r="X158" s="4">
        <v>23.7</v>
      </c>
      <c r="Y158" s="4">
        <v>23.7</v>
      </c>
      <c r="Z158" s="4">
        <v>23.7</v>
      </c>
      <c r="AA158" s="5">
        <v>23.7</v>
      </c>
      <c r="AB158" s="41">
        <v>2024</v>
      </c>
      <c r="AC158" s="111"/>
    </row>
    <row r="159" spans="1:31" s="51" customFormat="1" ht="31.5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131</v>
      </c>
      <c r="S159" s="41" t="s">
        <v>9</v>
      </c>
      <c r="T159" s="3">
        <f>27.6/336.9*100</f>
        <v>8.1923419412288521</v>
      </c>
      <c r="U159" s="3">
        <f>11.3/336.9*100</f>
        <v>3.3541110121697839</v>
      </c>
      <c r="V159" s="3">
        <f>2/336.9*100</f>
        <v>0.59364796675571385</v>
      </c>
      <c r="W159" s="3">
        <v>43.1</v>
      </c>
      <c r="X159" s="3">
        <v>43.1</v>
      </c>
      <c r="Y159" s="3">
        <v>43.1</v>
      </c>
      <c r="Z159" s="3">
        <v>43.1</v>
      </c>
      <c r="AA159" s="6">
        <v>43.1</v>
      </c>
      <c r="AB159" s="41">
        <v>2024</v>
      </c>
      <c r="AC159" s="111"/>
      <c r="AD159" s="50"/>
    </row>
    <row r="160" spans="1:31" s="51" customFormat="1" ht="63" x14ac:dyDescent="0.25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141" t="s">
        <v>132</v>
      </c>
      <c r="S160" s="55" t="s">
        <v>41</v>
      </c>
      <c r="T160" s="56">
        <v>0</v>
      </c>
      <c r="U160" s="56">
        <v>0</v>
      </c>
      <c r="V160" s="56">
        <v>0</v>
      </c>
      <c r="W160" s="56">
        <v>1</v>
      </c>
      <c r="X160" s="56">
        <v>1</v>
      </c>
      <c r="Y160" s="56">
        <v>1</v>
      </c>
      <c r="Z160" s="56">
        <v>1</v>
      </c>
      <c r="AA160" s="57">
        <v>1</v>
      </c>
      <c r="AB160" s="58">
        <v>2024</v>
      </c>
      <c r="AC160" s="111"/>
      <c r="AD160" s="50"/>
    </row>
    <row r="161" spans="1:31" s="51" customFormat="1" ht="31.5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72</v>
      </c>
      <c r="S161" s="41" t="s">
        <v>38</v>
      </c>
      <c r="T161" s="44">
        <v>0</v>
      </c>
      <c r="U161" s="44">
        <v>0</v>
      </c>
      <c r="V161" s="44">
        <f t="shared" ref="V161:Z161" si="66">V475</f>
        <v>0</v>
      </c>
      <c r="W161" s="44">
        <v>2</v>
      </c>
      <c r="X161" s="44">
        <f t="shared" si="66"/>
        <v>5</v>
      </c>
      <c r="Y161" s="44">
        <f t="shared" si="66"/>
        <v>5</v>
      </c>
      <c r="Z161" s="44">
        <f t="shared" si="66"/>
        <v>30</v>
      </c>
      <c r="AA161" s="49">
        <f>SUM(T161:Z161)</f>
        <v>42</v>
      </c>
      <c r="AB161" s="41">
        <v>2024</v>
      </c>
      <c r="AC161" s="117"/>
      <c r="AD161" s="113"/>
      <c r="AE161" s="113"/>
    </row>
    <row r="162" spans="1:31" s="51" customFormat="1" ht="31.5" x14ac:dyDescent="0.25">
      <c r="A162" s="54"/>
      <c r="B162" s="54"/>
      <c r="C162" s="54"/>
      <c r="D162" s="54" t="s">
        <v>18</v>
      </c>
      <c r="E162" s="54" t="s">
        <v>21</v>
      </c>
      <c r="F162" s="54" t="s">
        <v>18</v>
      </c>
      <c r="G162" s="54" t="s">
        <v>22</v>
      </c>
      <c r="H162" s="54" t="s">
        <v>19</v>
      </c>
      <c r="I162" s="54" t="s">
        <v>24</v>
      </c>
      <c r="J162" s="54" t="s">
        <v>18</v>
      </c>
      <c r="K162" s="54" t="s">
        <v>18</v>
      </c>
      <c r="L162" s="54" t="s">
        <v>20</v>
      </c>
      <c r="M162" s="54" t="s">
        <v>43</v>
      </c>
      <c r="N162" s="54" t="s">
        <v>43</v>
      </c>
      <c r="O162" s="54" t="s">
        <v>43</v>
      </c>
      <c r="P162" s="54" t="s">
        <v>43</v>
      </c>
      <c r="Q162" s="54" t="s">
        <v>43</v>
      </c>
      <c r="R162" s="141" t="s">
        <v>266</v>
      </c>
      <c r="S162" s="58" t="s">
        <v>0</v>
      </c>
      <c r="T162" s="59">
        <f t="shared" ref="T162:Y162" si="67">T164+T166+T168+T170</f>
        <v>1307</v>
      </c>
      <c r="U162" s="59">
        <f t="shared" si="67"/>
        <v>0</v>
      </c>
      <c r="V162" s="59">
        <f t="shared" si="67"/>
        <v>0</v>
      </c>
      <c r="W162" s="59">
        <f t="shared" si="67"/>
        <v>0</v>
      </c>
      <c r="X162" s="59">
        <f t="shared" si="67"/>
        <v>0</v>
      </c>
      <c r="Y162" s="59">
        <f t="shared" si="67"/>
        <v>0</v>
      </c>
      <c r="Z162" s="59">
        <f t="shared" ref="Z162" si="68">Z164+Z166+Z168+Z170</f>
        <v>0</v>
      </c>
      <c r="AA162" s="59">
        <f>SUM(T162:Y162)</f>
        <v>1307</v>
      </c>
      <c r="AB162" s="58">
        <v>2018</v>
      </c>
      <c r="AC162" s="111"/>
      <c r="AD162" s="113"/>
      <c r="AE162" s="113"/>
    </row>
    <row r="163" spans="1:31" s="51" customFormat="1" ht="47.25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78" t="s">
        <v>279</v>
      </c>
      <c r="S163" s="52" t="s">
        <v>38</v>
      </c>
      <c r="T163" s="44">
        <f>T165+T167+T169+T171</f>
        <v>39</v>
      </c>
      <c r="U163" s="44">
        <f t="shared" ref="U163:Y163" si="69">U165+U167+U169+U171</f>
        <v>0</v>
      </c>
      <c r="V163" s="44">
        <f t="shared" si="69"/>
        <v>0</v>
      </c>
      <c r="W163" s="44">
        <f t="shared" si="69"/>
        <v>0</v>
      </c>
      <c r="X163" s="44">
        <f t="shared" si="69"/>
        <v>0</v>
      </c>
      <c r="Y163" s="44">
        <f t="shared" si="69"/>
        <v>0</v>
      </c>
      <c r="Z163" s="44">
        <f t="shared" ref="Z163" si="70">Z165+Z167+Z169+Z171</f>
        <v>0</v>
      </c>
      <c r="AA163" s="49">
        <f>T163</f>
        <v>39</v>
      </c>
      <c r="AB163" s="41">
        <v>2018</v>
      </c>
      <c r="AC163" s="111"/>
      <c r="AD163" s="113"/>
      <c r="AE163" s="113"/>
    </row>
    <row r="164" spans="1:31" s="51" customFormat="1" ht="30" customHeight="1" x14ac:dyDescent="0.25">
      <c r="A164" s="54" t="s">
        <v>18</v>
      </c>
      <c r="B164" s="54" t="s">
        <v>18</v>
      </c>
      <c r="C164" s="54" t="s">
        <v>22</v>
      </c>
      <c r="D164" s="54" t="s">
        <v>18</v>
      </c>
      <c r="E164" s="54" t="s">
        <v>21</v>
      </c>
      <c r="F164" s="54" t="s">
        <v>18</v>
      </c>
      <c r="G164" s="54" t="s">
        <v>22</v>
      </c>
      <c r="H164" s="54" t="s">
        <v>19</v>
      </c>
      <c r="I164" s="54" t="s">
        <v>24</v>
      </c>
      <c r="J164" s="54" t="s">
        <v>18</v>
      </c>
      <c r="K164" s="54" t="s">
        <v>18</v>
      </c>
      <c r="L164" s="54" t="s">
        <v>20</v>
      </c>
      <c r="M164" s="54" t="s">
        <v>43</v>
      </c>
      <c r="N164" s="54" t="s">
        <v>43</v>
      </c>
      <c r="O164" s="54" t="s">
        <v>43</v>
      </c>
      <c r="P164" s="54" t="s">
        <v>43</v>
      </c>
      <c r="Q164" s="54" t="s">
        <v>43</v>
      </c>
      <c r="R164" s="141" t="s">
        <v>266</v>
      </c>
      <c r="S164" s="55" t="s">
        <v>0</v>
      </c>
      <c r="T164" s="1">
        <v>474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59">
        <f>SUM(T164:Y164)</f>
        <v>474</v>
      </c>
      <c r="AB164" s="58">
        <v>2018</v>
      </c>
      <c r="AC164" s="121"/>
      <c r="AD164" s="114"/>
      <c r="AE164" s="114"/>
    </row>
    <row r="165" spans="1:31" s="51" customFormat="1" ht="63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280</v>
      </c>
      <c r="S165" s="52" t="s">
        <v>38</v>
      </c>
      <c r="T165" s="44">
        <v>15</v>
      </c>
      <c r="U165" s="44">
        <v>0</v>
      </c>
      <c r="V165" s="44">
        <v>0</v>
      </c>
      <c r="W165" s="44">
        <v>0</v>
      </c>
      <c r="X165" s="44">
        <v>0</v>
      </c>
      <c r="Y165" s="44">
        <v>0</v>
      </c>
      <c r="Z165" s="44">
        <v>0</v>
      </c>
      <c r="AA165" s="49">
        <f>T165+U165+V165+W165+X165</f>
        <v>15</v>
      </c>
      <c r="AB165" s="41">
        <v>2018</v>
      </c>
      <c r="AC165" s="111"/>
      <c r="AD165" s="50"/>
    </row>
    <row r="166" spans="1:31" s="136" customFormat="1" ht="31.5" x14ac:dyDescent="0.25">
      <c r="A166" s="54" t="s">
        <v>18</v>
      </c>
      <c r="B166" s="54" t="s">
        <v>18</v>
      </c>
      <c r="C166" s="54" t="s">
        <v>24</v>
      </c>
      <c r="D166" s="54" t="s">
        <v>18</v>
      </c>
      <c r="E166" s="54" t="s">
        <v>21</v>
      </c>
      <c r="F166" s="54" t="s">
        <v>18</v>
      </c>
      <c r="G166" s="54" t="s">
        <v>22</v>
      </c>
      <c r="H166" s="54" t="s">
        <v>19</v>
      </c>
      <c r="I166" s="54" t="s">
        <v>24</v>
      </c>
      <c r="J166" s="54" t="s">
        <v>18</v>
      </c>
      <c r="K166" s="54" t="s">
        <v>18</v>
      </c>
      <c r="L166" s="54" t="s">
        <v>20</v>
      </c>
      <c r="M166" s="54" t="s">
        <v>43</v>
      </c>
      <c r="N166" s="54" t="s">
        <v>43</v>
      </c>
      <c r="O166" s="54" t="s">
        <v>43</v>
      </c>
      <c r="P166" s="54" t="s">
        <v>43</v>
      </c>
      <c r="Q166" s="54" t="s">
        <v>43</v>
      </c>
      <c r="R166" s="141" t="s">
        <v>266</v>
      </c>
      <c r="S166" s="55" t="s">
        <v>0</v>
      </c>
      <c r="T166" s="1">
        <f>0+126+400-100</f>
        <v>426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59">
        <f t="shared" ref="AA166:AA171" si="71">SUM(T166:Y166)</f>
        <v>426</v>
      </c>
      <c r="AB166" s="58">
        <v>2018</v>
      </c>
      <c r="AC166" s="134"/>
      <c r="AD166" s="135"/>
      <c r="AE166" s="135"/>
    </row>
    <row r="167" spans="1:31" s="51" customFormat="1" ht="63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281</v>
      </c>
      <c r="S167" s="52" t="s">
        <v>38</v>
      </c>
      <c r="T167" s="44">
        <v>4</v>
      </c>
      <c r="U167" s="44">
        <v>0</v>
      </c>
      <c r="V167" s="44">
        <v>0</v>
      </c>
      <c r="W167" s="44">
        <v>0</v>
      </c>
      <c r="X167" s="44">
        <v>0</v>
      </c>
      <c r="Y167" s="44">
        <v>0</v>
      </c>
      <c r="Z167" s="44">
        <v>0</v>
      </c>
      <c r="AA167" s="49">
        <f t="shared" si="71"/>
        <v>4</v>
      </c>
      <c r="AB167" s="41">
        <v>2018</v>
      </c>
      <c r="AC167" s="112"/>
      <c r="AD167" s="113"/>
    </row>
    <row r="168" spans="1:31" s="51" customFormat="1" ht="31.5" x14ac:dyDescent="0.25">
      <c r="A168" s="54" t="s">
        <v>18</v>
      </c>
      <c r="B168" s="54" t="s">
        <v>18</v>
      </c>
      <c r="C168" s="54" t="s">
        <v>21</v>
      </c>
      <c r="D168" s="54" t="s">
        <v>18</v>
      </c>
      <c r="E168" s="54" t="s">
        <v>21</v>
      </c>
      <c r="F168" s="54" t="s">
        <v>18</v>
      </c>
      <c r="G168" s="54" t="s">
        <v>22</v>
      </c>
      <c r="H168" s="54" t="s">
        <v>19</v>
      </c>
      <c r="I168" s="54" t="s">
        <v>24</v>
      </c>
      <c r="J168" s="54" t="s">
        <v>18</v>
      </c>
      <c r="K168" s="54" t="s">
        <v>18</v>
      </c>
      <c r="L168" s="54" t="s">
        <v>20</v>
      </c>
      <c r="M168" s="54" t="s">
        <v>43</v>
      </c>
      <c r="N168" s="54" t="s">
        <v>43</v>
      </c>
      <c r="O168" s="54" t="s">
        <v>43</v>
      </c>
      <c r="P168" s="54" t="s">
        <v>43</v>
      </c>
      <c r="Q168" s="54" t="s">
        <v>43</v>
      </c>
      <c r="R168" s="141" t="s">
        <v>266</v>
      </c>
      <c r="S168" s="55" t="s">
        <v>0</v>
      </c>
      <c r="T168" s="1">
        <v>250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59">
        <f t="shared" si="71"/>
        <v>250</v>
      </c>
      <c r="AB168" s="58">
        <v>2018</v>
      </c>
      <c r="AC168" s="33"/>
      <c r="AD168" s="113"/>
      <c r="AE168" s="113"/>
    </row>
    <row r="169" spans="1:31" s="51" customFormat="1" ht="63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282</v>
      </c>
      <c r="S169" s="52" t="s">
        <v>38</v>
      </c>
      <c r="T169" s="44">
        <v>16</v>
      </c>
      <c r="U169" s="44">
        <v>0</v>
      </c>
      <c r="V169" s="44">
        <v>0</v>
      </c>
      <c r="W169" s="44">
        <v>0</v>
      </c>
      <c r="X169" s="44">
        <v>0</v>
      </c>
      <c r="Y169" s="44">
        <v>0</v>
      </c>
      <c r="Z169" s="44">
        <v>0</v>
      </c>
      <c r="AA169" s="49">
        <f t="shared" si="71"/>
        <v>16</v>
      </c>
      <c r="AB169" s="41">
        <v>2018</v>
      </c>
      <c r="AC169" s="111"/>
      <c r="AD169" s="50"/>
    </row>
    <row r="170" spans="1:31" s="51" customFormat="1" ht="31.5" x14ac:dyDescent="0.25">
      <c r="A170" s="54" t="s">
        <v>18</v>
      </c>
      <c r="B170" s="54" t="s">
        <v>18</v>
      </c>
      <c r="C170" s="54" t="s">
        <v>25</v>
      </c>
      <c r="D170" s="54" t="s">
        <v>18</v>
      </c>
      <c r="E170" s="54" t="s">
        <v>21</v>
      </c>
      <c r="F170" s="54" t="s">
        <v>18</v>
      </c>
      <c r="G170" s="54" t="s">
        <v>22</v>
      </c>
      <c r="H170" s="54" t="s">
        <v>19</v>
      </c>
      <c r="I170" s="54" t="s">
        <v>24</v>
      </c>
      <c r="J170" s="54" t="s">
        <v>18</v>
      </c>
      <c r="K170" s="54" t="s">
        <v>18</v>
      </c>
      <c r="L170" s="54" t="s">
        <v>20</v>
      </c>
      <c r="M170" s="54" t="s">
        <v>43</v>
      </c>
      <c r="N170" s="54" t="s">
        <v>43</v>
      </c>
      <c r="O170" s="54" t="s">
        <v>43</v>
      </c>
      <c r="P170" s="54" t="s">
        <v>43</v>
      </c>
      <c r="Q170" s="54" t="s">
        <v>43</v>
      </c>
      <c r="R170" s="141" t="s">
        <v>266</v>
      </c>
      <c r="S170" s="55" t="s">
        <v>0</v>
      </c>
      <c r="T170" s="1">
        <f>480-430+100+55-48</f>
        <v>157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59">
        <f t="shared" si="71"/>
        <v>157</v>
      </c>
      <c r="AB170" s="58">
        <v>2018</v>
      </c>
      <c r="AC170" s="33"/>
      <c r="AD170" s="113"/>
      <c r="AE170" s="113"/>
    </row>
    <row r="171" spans="1:31" s="51" customFormat="1" ht="63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283</v>
      </c>
      <c r="S171" s="52" t="s">
        <v>38</v>
      </c>
      <c r="T171" s="44">
        <v>4</v>
      </c>
      <c r="U171" s="44">
        <v>0</v>
      </c>
      <c r="V171" s="44">
        <v>0</v>
      </c>
      <c r="W171" s="44">
        <v>0</v>
      </c>
      <c r="X171" s="44">
        <v>0</v>
      </c>
      <c r="Y171" s="44">
        <v>0</v>
      </c>
      <c r="Z171" s="44">
        <v>0</v>
      </c>
      <c r="AA171" s="49">
        <f t="shared" si="71"/>
        <v>4</v>
      </c>
      <c r="AB171" s="41">
        <v>2018</v>
      </c>
      <c r="AC171" s="111"/>
      <c r="AD171" s="50"/>
    </row>
    <row r="172" spans="1:31" s="51" customFormat="1" ht="47.25" x14ac:dyDescent="0.25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141" t="s">
        <v>135</v>
      </c>
      <c r="S172" s="55" t="s">
        <v>41</v>
      </c>
      <c r="T172" s="56">
        <v>0</v>
      </c>
      <c r="U172" s="56">
        <v>0</v>
      </c>
      <c r="V172" s="56">
        <v>0</v>
      </c>
      <c r="W172" s="56">
        <v>1</v>
      </c>
      <c r="X172" s="56">
        <v>1</v>
      </c>
      <c r="Y172" s="56">
        <v>1</v>
      </c>
      <c r="Z172" s="56">
        <v>1</v>
      </c>
      <c r="AA172" s="57">
        <v>1</v>
      </c>
      <c r="AB172" s="58">
        <v>2024</v>
      </c>
      <c r="AC172" s="111"/>
      <c r="AD172" s="50"/>
    </row>
    <row r="173" spans="1:31" ht="29.4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77</v>
      </c>
      <c r="S173" s="41" t="s">
        <v>38</v>
      </c>
      <c r="T173" s="2">
        <v>0</v>
      </c>
      <c r="U173" s="2">
        <v>0</v>
      </c>
      <c r="V173" s="2">
        <v>0</v>
      </c>
      <c r="W173" s="2">
        <v>2</v>
      </c>
      <c r="X173" s="2">
        <v>2</v>
      </c>
      <c r="Y173" s="2">
        <v>2</v>
      </c>
      <c r="Z173" s="2">
        <v>2</v>
      </c>
      <c r="AA173" s="49">
        <f>SUM(T173:Z173)</f>
        <v>8</v>
      </c>
      <c r="AB173" s="41">
        <v>2024</v>
      </c>
      <c r="AD173" s="104"/>
      <c r="AE173" s="104"/>
    </row>
    <row r="174" spans="1:31" ht="31.9" customHeight="1" x14ac:dyDescent="0.25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141" t="s">
        <v>136</v>
      </c>
      <c r="S174" s="55" t="s">
        <v>41</v>
      </c>
      <c r="T174" s="56">
        <v>0</v>
      </c>
      <c r="U174" s="56">
        <v>0</v>
      </c>
      <c r="V174" s="56">
        <v>0</v>
      </c>
      <c r="W174" s="56">
        <v>1</v>
      </c>
      <c r="X174" s="56">
        <v>1</v>
      </c>
      <c r="Y174" s="56">
        <v>1</v>
      </c>
      <c r="Z174" s="56">
        <v>1</v>
      </c>
      <c r="AA174" s="57">
        <v>1</v>
      </c>
      <c r="AB174" s="58">
        <v>2024</v>
      </c>
      <c r="AD174" s="104"/>
      <c r="AE174" s="104"/>
    </row>
    <row r="175" spans="1:31" s="76" customFormat="1" ht="47.25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40" t="s">
        <v>137</v>
      </c>
      <c r="S175" s="62" t="s">
        <v>38</v>
      </c>
      <c r="T175" s="2">
        <v>0</v>
      </c>
      <c r="U175" s="2">
        <v>0</v>
      </c>
      <c r="V175" s="2">
        <v>0</v>
      </c>
      <c r="W175" s="2">
        <v>2</v>
      </c>
      <c r="X175" s="2">
        <v>30</v>
      </c>
      <c r="Y175" s="2">
        <v>30</v>
      </c>
      <c r="Z175" s="2">
        <v>30</v>
      </c>
      <c r="AA175" s="45">
        <f>SUM(T175:Z175)</f>
        <v>92</v>
      </c>
      <c r="AB175" s="41">
        <v>2024</v>
      </c>
      <c r="AC175" s="103"/>
    </row>
    <row r="176" spans="1:31" s="76" customFormat="1" ht="63" customHeight="1" x14ac:dyDescent="0.25">
      <c r="A176" s="54"/>
      <c r="B176" s="54"/>
      <c r="C176" s="54"/>
      <c r="D176" s="54" t="s">
        <v>18</v>
      </c>
      <c r="E176" s="54" t="s">
        <v>24</v>
      </c>
      <c r="F176" s="54" t="s">
        <v>18</v>
      </c>
      <c r="G176" s="54" t="s">
        <v>43</v>
      </c>
      <c r="H176" s="54" t="s">
        <v>19</v>
      </c>
      <c r="I176" s="54" t="s">
        <v>24</v>
      </c>
      <c r="J176" s="54" t="s">
        <v>18</v>
      </c>
      <c r="K176" s="54" t="s">
        <v>18</v>
      </c>
      <c r="L176" s="54" t="s">
        <v>20</v>
      </c>
      <c r="M176" s="54" t="s">
        <v>18</v>
      </c>
      <c r="N176" s="54" t="s">
        <v>18</v>
      </c>
      <c r="O176" s="54" t="s">
        <v>18</v>
      </c>
      <c r="P176" s="54" t="s">
        <v>18</v>
      </c>
      <c r="Q176" s="54" t="s">
        <v>18</v>
      </c>
      <c r="R176" s="150" t="s">
        <v>138</v>
      </c>
      <c r="S176" s="58" t="s">
        <v>0</v>
      </c>
      <c r="T176" s="59">
        <f t="shared" ref="T176:Z176" si="72">T183+T190+T197+T204+T211</f>
        <v>123487.5</v>
      </c>
      <c r="U176" s="59">
        <f t="shared" si="72"/>
        <v>86341.199999999983</v>
      </c>
      <c r="V176" s="59">
        <f t="shared" si="72"/>
        <v>569.79999999999995</v>
      </c>
      <c r="W176" s="59">
        <f t="shared" si="72"/>
        <v>0</v>
      </c>
      <c r="X176" s="59">
        <f t="shared" si="72"/>
        <v>0</v>
      </c>
      <c r="Y176" s="59">
        <f t="shared" si="72"/>
        <v>0</v>
      </c>
      <c r="Z176" s="59">
        <f t="shared" si="72"/>
        <v>0</v>
      </c>
      <c r="AA176" s="59">
        <f>SUM(T176:Z176)</f>
        <v>210398.49999999997</v>
      </c>
      <c r="AB176" s="58">
        <v>2020</v>
      </c>
      <c r="AC176" s="108"/>
    </row>
    <row r="177" spans="1:30" s="76" customFormat="1" ht="19.899999999999999" hidden="1" customHeight="1" x14ac:dyDescent="0.25">
      <c r="A177" s="54"/>
      <c r="B177" s="54"/>
      <c r="C177" s="54"/>
      <c r="D177" s="54" t="s">
        <v>18</v>
      </c>
      <c r="E177" s="54" t="s">
        <v>24</v>
      </c>
      <c r="F177" s="54" t="s">
        <v>18</v>
      </c>
      <c r="G177" s="54" t="s">
        <v>43</v>
      </c>
      <c r="H177" s="54" t="s">
        <v>19</v>
      </c>
      <c r="I177" s="54" t="s">
        <v>24</v>
      </c>
      <c r="J177" s="54" t="s">
        <v>18</v>
      </c>
      <c r="K177" s="54" t="s">
        <v>18</v>
      </c>
      <c r="L177" s="54" t="s">
        <v>20</v>
      </c>
      <c r="M177" s="54" t="s">
        <v>37</v>
      </c>
      <c r="N177" s="54" t="s">
        <v>18</v>
      </c>
      <c r="O177" s="54" t="s">
        <v>20</v>
      </c>
      <c r="P177" s="54" t="s">
        <v>19</v>
      </c>
      <c r="Q177" s="54" t="s">
        <v>39</v>
      </c>
      <c r="R177" s="150"/>
      <c r="S177" s="55" t="s">
        <v>0</v>
      </c>
      <c r="T177" s="1">
        <f t="shared" ref="T177:Z178" si="73">T185+T192+T199+T206</f>
        <v>0</v>
      </c>
      <c r="U177" s="1">
        <f t="shared" si="73"/>
        <v>18179.999999999996</v>
      </c>
      <c r="V177" s="1">
        <f t="shared" si="73"/>
        <v>0</v>
      </c>
      <c r="W177" s="1">
        <f t="shared" si="73"/>
        <v>0</v>
      </c>
      <c r="X177" s="1">
        <f t="shared" si="73"/>
        <v>0</v>
      </c>
      <c r="Y177" s="1">
        <f t="shared" si="73"/>
        <v>0</v>
      </c>
      <c r="Z177" s="1">
        <f t="shared" si="73"/>
        <v>0</v>
      </c>
      <c r="AA177" s="59">
        <f>T177+U177+V177+W177+X177+Y177</f>
        <v>18179.999999999996</v>
      </c>
      <c r="AB177" s="58">
        <v>2023</v>
      </c>
      <c r="AC177" s="103"/>
    </row>
    <row r="178" spans="1:30" s="76" customFormat="1" ht="19.899999999999999" hidden="1" customHeight="1" x14ac:dyDescent="0.25">
      <c r="A178" s="54"/>
      <c r="B178" s="54"/>
      <c r="C178" s="54"/>
      <c r="D178" s="54" t="s">
        <v>18</v>
      </c>
      <c r="E178" s="54" t="s">
        <v>24</v>
      </c>
      <c r="F178" s="54" t="s">
        <v>18</v>
      </c>
      <c r="G178" s="54" t="s">
        <v>43</v>
      </c>
      <c r="H178" s="54" t="s">
        <v>19</v>
      </c>
      <c r="I178" s="54" t="s">
        <v>24</v>
      </c>
      <c r="J178" s="54" t="s">
        <v>18</v>
      </c>
      <c r="K178" s="54" t="s">
        <v>18</v>
      </c>
      <c r="L178" s="54" t="s">
        <v>20</v>
      </c>
      <c r="M178" s="54" t="s">
        <v>18</v>
      </c>
      <c r="N178" s="54" t="s">
        <v>18</v>
      </c>
      <c r="O178" s="54" t="s">
        <v>18</v>
      </c>
      <c r="P178" s="54" t="s">
        <v>18</v>
      </c>
      <c r="Q178" s="54" t="s">
        <v>18</v>
      </c>
      <c r="R178" s="150"/>
      <c r="S178" s="55" t="s">
        <v>0</v>
      </c>
      <c r="T178" s="1">
        <f t="shared" si="73"/>
        <v>0</v>
      </c>
      <c r="U178" s="1">
        <f t="shared" si="73"/>
        <v>896.59999999999991</v>
      </c>
      <c r="V178" s="1">
        <f t="shared" si="73"/>
        <v>569.79999999999995</v>
      </c>
      <c r="W178" s="1">
        <f t="shared" si="73"/>
        <v>0</v>
      </c>
      <c r="X178" s="1">
        <f t="shared" si="73"/>
        <v>0</v>
      </c>
      <c r="Y178" s="1">
        <f t="shared" si="73"/>
        <v>0</v>
      </c>
      <c r="Z178" s="1">
        <f t="shared" si="73"/>
        <v>0</v>
      </c>
      <c r="AA178" s="59">
        <f>T178+U178+V178+W178+X178+Y178</f>
        <v>1466.3999999999999</v>
      </c>
      <c r="AB178" s="58">
        <v>2023</v>
      </c>
      <c r="AC178" s="103"/>
    </row>
    <row r="179" spans="1:30" s="76" customFormat="1" ht="63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78" t="s">
        <v>185</v>
      </c>
      <c r="S179" s="62" t="s">
        <v>52</v>
      </c>
      <c r="T179" s="3">
        <f>T215</f>
        <v>58.6</v>
      </c>
      <c r="U179" s="3">
        <f t="shared" ref="U179:Z179" si="74">U215+U208+U201+U194+U187</f>
        <v>38.200000000000003</v>
      </c>
      <c r="V179" s="3">
        <f t="shared" si="74"/>
        <v>0</v>
      </c>
      <c r="W179" s="3">
        <f t="shared" si="74"/>
        <v>0</v>
      </c>
      <c r="X179" s="3">
        <f t="shared" si="74"/>
        <v>0</v>
      </c>
      <c r="Y179" s="3">
        <f t="shared" si="74"/>
        <v>0</v>
      </c>
      <c r="Z179" s="3">
        <f t="shared" si="74"/>
        <v>0</v>
      </c>
      <c r="AA179" s="6">
        <f>SUM(T179:Z179)</f>
        <v>96.800000000000011</v>
      </c>
      <c r="AB179" s="41">
        <v>2020</v>
      </c>
      <c r="AC179" s="103"/>
    </row>
    <row r="180" spans="1:30" s="76" customFormat="1" ht="31.15" hidden="1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79" t="s">
        <v>51</v>
      </c>
      <c r="S180" s="62"/>
      <c r="T180" s="3">
        <f>T216</f>
        <v>28</v>
      </c>
      <c r="U180" s="3"/>
      <c r="V180" s="3"/>
      <c r="W180" s="3"/>
      <c r="X180" s="3"/>
      <c r="Y180" s="3"/>
      <c r="Z180" s="3"/>
      <c r="AA180" s="6"/>
      <c r="AB180" s="41">
        <v>2020</v>
      </c>
      <c r="AC180" s="103"/>
    </row>
    <row r="181" spans="1:30" s="76" customFormat="1" ht="31.5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80" t="s">
        <v>186</v>
      </c>
      <c r="S181" s="62" t="s">
        <v>38</v>
      </c>
      <c r="T181" s="44">
        <f>T216</f>
        <v>28</v>
      </c>
      <c r="U181" s="44">
        <f>U188+U195+U202+U209+U216</f>
        <v>20</v>
      </c>
      <c r="V181" s="44">
        <f>V188+V195+V202+V209</f>
        <v>0</v>
      </c>
      <c r="W181" s="44">
        <f>W188+W195+W202+W209</f>
        <v>0</v>
      </c>
      <c r="X181" s="44">
        <f>X188+X195+X202+X209</f>
        <v>0</v>
      </c>
      <c r="Y181" s="44">
        <f>Y188+Y195+Y202+Y209</f>
        <v>0</v>
      </c>
      <c r="Z181" s="44">
        <f>Z188+Z195+Z202+Z209</f>
        <v>0</v>
      </c>
      <c r="AA181" s="49">
        <f>SUM(T181:Z181)</f>
        <v>48</v>
      </c>
      <c r="AB181" s="41">
        <v>2020</v>
      </c>
      <c r="AC181" s="103"/>
      <c r="AD181" s="81"/>
    </row>
    <row r="182" spans="1:30" s="133" customFormat="1" ht="45.6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78" t="s">
        <v>349</v>
      </c>
      <c r="S182" s="52" t="s">
        <v>38</v>
      </c>
      <c r="T182" s="44">
        <v>0</v>
      </c>
      <c r="U182" s="44">
        <f>U189+U196+U203+U210</f>
        <v>20</v>
      </c>
      <c r="V182" s="44">
        <f>V189+V196+V203+V210</f>
        <v>14</v>
      </c>
      <c r="W182" s="44">
        <v>0</v>
      </c>
      <c r="X182" s="44">
        <v>0</v>
      </c>
      <c r="Y182" s="44">
        <v>0</v>
      </c>
      <c r="Z182" s="44">
        <v>0</v>
      </c>
      <c r="AA182" s="49">
        <f>SUM(T182:Z182)</f>
        <v>34</v>
      </c>
      <c r="AB182" s="41">
        <v>2020</v>
      </c>
      <c r="AC182" s="111"/>
      <c r="AD182" s="132"/>
    </row>
    <row r="183" spans="1:30" s="76" customFormat="1" x14ac:dyDescent="0.25">
      <c r="A183" s="54" t="s">
        <v>18</v>
      </c>
      <c r="B183" s="54" t="s">
        <v>18</v>
      </c>
      <c r="C183" s="54" t="s">
        <v>22</v>
      </c>
      <c r="D183" s="54" t="s">
        <v>18</v>
      </c>
      <c r="E183" s="54" t="s">
        <v>24</v>
      </c>
      <c r="F183" s="54" t="s">
        <v>18</v>
      </c>
      <c r="G183" s="54" t="s">
        <v>43</v>
      </c>
      <c r="H183" s="54" t="s">
        <v>19</v>
      </c>
      <c r="I183" s="54" t="s">
        <v>24</v>
      </c>
      <c r="J183" s="54" t="s">
        <v>18</v>
      </c>
      <c r="K183" s="54" t="s">
        <v>18</v>
      </c>
      <c r="L183" s="54" t="s">
        <v>20</v>
      </c>
      <c r="M183" s="54" t="s">
        <v>18</v>
      </c>
      <c r="N183" s="54" t="s">
        <v>18</v>
      </c>
      <c r="O183" s="54" t="s">
        <v>18</v>
      </c>
      <c r="P183" s="54" t="s">
        <v>18</v>
      </c>
      <c r="Q183" s="54" t="s">
        <v>18</v>
      </c>
      <c r="R183" s="150" t="s">
        <v>138</v>
      </c>
      <c r="S183" s="55" t="s">
        <v>0</v>
      </c>
      <c r="T183" s="59">
        <f>SUM(T185:T186)</f>
        <v>0</v>
      </c>
      <c r="U183" s="59">
        <f>SUM(U184:U186)</f>
        <v>26850.299999999996</v>
      </c>
      <c r="V183" s="59">
        <f t="shared" ref="V183:Z183" si="75">SUM(V184:V186)</f>
        <v>48.800000000000011</v>
      </c>
      <c r="W183" s="59">
        <f t="shared" si="75"/>
        <v>0</v>
      </c>
      <c r="X183" s="59">
        <f t="shared" si="75"/>
        <v>0</v>
      </c>
      <c r="Y183" s="59">
        <f t="shared" si="75"/>
        <v>0</v>
      </c>
      <c r="Z183" s="59">
        <f t="shared" si="75"/>
        <v>0</v>
      </c>
      <c r="AA183" s="59">
        <f>SUM(T183:Z183)</f>
        <v>26899.099999999995</v>
      </c>
      <c r="AB183" s="58">
        <v>2020</v>
      </c>
      <c r="AC183" s="103"/>
      <c r="AD183" s="81"/>
    </row>
    <row r="184" spans="1:30" s="76" customFormat="1" x14ac:dyDescent="0.25">
      <c r="A184" s="54" t="s">
        <v>18</v>
      </c>
      <c r="B184" s="54" t="s">
        <v>18</v>
      </c>
      <c r="C184" s="54" t="s">
        <v>22</v>
      </c>
      <c r="D184" s="54" t="s">
        <v>18</v>
      </c>
      <c r="E184" s="54" t="s">
        <v>24</v>
      </c>
      <c r="F184" s="54" t="s">
        <v>18</v>
      </c>
      <c r="G184" s="54" t="s">
        <v>43</v>
      </c>
      <c r="H184" s="54" t="s">
        <v>19</v>
      </c>
      <c r="I184" s="54" t="s">
        <v>24</v>
      </c>
      <c r="J184" s="54" t="s">
        <v>18</v>
      </c>
      <c r="K184" s="54" t="s">
        <v>18</v>
      </c>
      <c r="L184" s="54" t="s">
        <v>20</v>
      </c>
      <c r="M184" s="54" t="s">
        <v>19</v>
      </c>
      <c r="N184" s="54" t="s">
        <v>18</v>
      </c>
      <c r="O184" s="54" t="s">
        <v>177</v>
      </c>
      <c r="P184" s="54" t="s">
        <v>21</v>
      </c>
      <c r="Q184" s="54" t="s">
        <v>25</v>
      </c>
      <c r="R184" s="150"/>
      <c r="S184" s="55" t="s">
        <v>0</v>
      </c>
      <c r="T184" s="1">
        <v>0</v>
      </c>
      <c r="U184" s="1">
        <f>16800.1+4329.1</f>
        <v>21129.199999999997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59">
        <f t="shared" ref="AA184" si="76">SUM(T184:Z184)</f>
        <v>21129.199999999997</v>
      </c>
      <c r="AB184" s="58">
        <v>2020</v>
      </c>
      <c r="AC184" s="103"/>
      <c r="AD184" s="81"/>
    </row>
    <row r="185" spans="1:30" s="76" customFormat="1" x14ac:dyDescent="0.25">
      <c r="A185" s="54" t="s">
        <v>18</v>
      </c>
      <c r="B185" s="54" t="s">
        <v>18</v>
      </c>
      <c r="C185" s="54" t="s">
        <v>22</v>
      </c>
      <c r="D185" s="54" t="s">
        <v>18</v>
      </c>
      <c r="E185" s="54" t="s">
        <v>24</v>
      </c>
      <c r="F185" s="54" t="s">
        <v>18</v>
      </c>
      <c r="G185" s="54" t="s">
        <v>43</v>
      </c>
      <c r="H185" s="54" t="s">
        <v>19</v>
      </c>
      <c r="I185" s="54" t="s">
        <v>24</v>
      </c>
      <c r="J185" s="54" t="s">
        <v>18</v>
      </c>
      <c r="K185" s="54" t="s">
        <v>18</v>
      </c>
      <c r="L185" s="54" t="s">
        <v>20</v>
      </c>
      <c r="M185" s="54" t="s">
        <v>37</v>
      </c>
      <c r="N185" s="54" t="s">
        <v>18</v>
      </c>
      <c r="O185" s="54" t="s">
        <v>177</v>
      </c>
      <c r="P185" s="54" t="s">
        <v>21</v>
      </c>
      <c r="Q185" s="54" t="s">
        <v>25</v>
      </c>
      <c r="R185" s="150"/>
      <c r="S185" s="55" t="s">
        <v>0</v>
      </c>
      <c r="T185" s="1">
        <v>0</v>
      </c>
      <c r="U185" s="1">
        <f>4199.9+2224.5-291-681.9</f>
        <v>5451.5</v>
      </c>
      <c r="V185" s="1">
        <f>2529.4-2529.4</f>
        <v>0</v>
      </c>
      <c r="W185" s="1">
        <f>2800-2800</f>
        <v>0</v>
      </c>
      <c r="X185" s="1">
        <f>2800-2800</f>
        <v>0</v>
      </c>
      <c r="Y185" s="1">
        <f t="shared" ref="Y185:Z185" si="77">2800-2800</f>
        <v>0</v>
      </c>
      <c r="Z185" s="1">
        <f t="shared" si="77"/>
        <v>0</v>
      </c>
      <c r="AA185" s="59">
        <f t="shared" ref="AA185:AA186" si="78">SUM(T185:Z185)</f>
        <v>5451.5</v>
      </c>
      <c r="AB185" s="58">
        <v>2020</v>
      </c>
      <c r="AC185" s="103"/>
      <c r="AD185" s="81"/>
    </row>
    <row r="186" spans="1:30" s="76" customFormat="1" ht="15" customHeight="1" x14ac:dyDescent="0.25">
      <c r="A186" s="54" t="s">
        <v>18</v>
      </c>
      <c r="B186" s="54" t="s">
        <v>18</v>
      </c>
      <c r="C186" s="54" t="s">
        <v>22</v>
      </c>
      <c r="D186" s="54" t="s">
        <v>18</v>
      </c>
      <c r="E186" s="54" t="s">
        <v>24</v>
      </c>
      <c r="F186" s="54" t="s">
        <v>18</v>
      </c>
      <c r="G186" s="54" t="s">
        <v>43</v>
      </c>
      <c r="H186" s="54" t="s">
        <v>19</v>
      </c>
      <c r="I186" s="54" t="s">
        <v>24</v>
      </c>
      <c r="J186" s="54" t="s">
        <v>18</v>
      </c>
      <c r="K186" s="54" t="s">
        <v>18</v>
      </c>
      <c r="L186" s="54" t="s">
        <v>20</v>
      </c>
      <c r="M186" s="54" t="s">
        <v>43</v>
      </c>
      <c r="N186" s="54" t="s">
        <v>43</v>
      </c>
      <c r="O186" s="54" t="s">
        <v>43</v>
      </c>
      <c r="P186" s="54" t="s">
        <v>43</v>
      </c>
      <c r="Q186" s="54" t="s">
        <v>43</v>
      </c>
      <c r="R186" s="150"/>
      <c r="S186" s="55" t="s">
        <v>0</v>
      </c>
      <c r="T186" s="1">
        <v>0</v>
      </c>
      <c r="U186" s="1">
        <f>164.3-164.3+200+449.4+50.8-371.3-59.3</f>
        <v>269.59999999999991</v>
      </c>
      <c r="V186" s="1">
        <f>270.6-221.8</f>
        <v>48.800000000000011</v>
      </c>
      <c r="W186" s="1">
        <v>0</v>
      </c>
      <c r="X186" s="1">
        <v>0</v>
      </c>
      <c r="Y186" s="1">
        <v>0</v>
      </c>
      <c r="Z186" s="1">
        <v>0</v>
      </c>
      <c r="AA186" s="59">
        <f t="shared" si="78"/>
        <v>318.39999999999992</v>
      </c>
      <c r="AB186" s="58">
        <v>2020</v>
      </c>
      <c r="AC186" s="103"/>
      <c r="AD186" s="81"/>
    </row>
    <row r="187" spans="1:30" s="76" customFormat="1" ht="63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78" t="s">
        <v>290</v>
      </c>
      <c r="S187" s="62" t="s">
        <v>42</v>
      </c>
      <c r="T187" s="3">
        <v>0</v>
      </c>
      <c r="U187" s="3">
        <v>11.6</v>
      </c>
      <c r="V187" s="3">
        <f>6.8-6.8</f>
        <v>0</v>
      </c>
      <c r="W187" s="3">
        <v>0</v>
      </c>
      <c r="X187" s="3">
        <v>0</v>
      </c>
      <c r="Y187" s="3">
        <v>0</v>
      </c>
      <c r="Z187" s="3">
        <v>0</v>
      </c>
      <c r="AA187" s="6">
        <f>SUM(T187:Z187)</f>
        <v>11.6</v>
      </c>
      <c r="AB187" s="41">
        <v>2020</v>
      </c>
      <c r="AC187" s="103"/>
    </row>
    <row r="188" spans="1:30" s="76" customFormat="1" ht="47.25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80" t="s">
        <v>291</v>
      </c>
      <c r="S188" s="62" t="s">
        <v>38</v>
      </c>
      <c r="T188" s="44">
        <v>0</v>
      </c>
      <c r="U188" s="44">
        <v>8</v>
      </c>
      <c r="V188" s="44">
        <f>3-3</f>
        <v>0</v>
      </c>
      <c r="W188" s="44">
        <v>0</v>
      </c>
      <c r="X188" s="44">
        <v>0</v>
      </c>
      <c r="Y188" s="44">
        <v>0</v>
      </c>
      <c r="Z188" s="44">
        <v>0</v>
      </c>
      <c r="AA188" s="49">
        <f>SUM(T188:Z188)</f>
        <v>8</v>
      </c>
      <c r="AB188" s="41">
        <v>2020</v>
      </c>
      <c r="AC188" s="103"/>
      <c r="AD188" s="81"/>
    </row>
    <row r="189" spans="1:30" s="133" customFormat="1" ht="63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78" t="s">
        <v>300</v>
      </c>
      <c r="S189" s="52" t="s">
        <v>38</v>
      </c>
      <c r="T189" s="44">
        <v>0</v>
      </c>
      <c r="U189" s="44">
        <v>8</v>
      </c>
      <c r="V189" s="44">
        <v>5</v>
      </c>
      <c r="W189" s="44">
        <v>0</v>
      </c>
      <c r="X189" s="44">
        <v>0</v>
      </c>
      <c r="Y189" s="44">
        <v>0</v>
      </c>
      <c r="Z189" s="44">
        <v>0</v>
      </c>
      <c r="AA189" s="49">
        <f>SUM(T189:Z189)</f>
        <v>13</v>
      </c>
      <c r="AB189" s="41">
        <v>2020</v>
      </c>
      <c r="AC189" s="111"/>
      <c r="AD189" s="132"/>
    </row>
    <row r="190" spans="1:30" s="76" customFormat="1" ht="24" customHeight="1" x14ac:dyDescent="0.25">
      <c r="A190" s="54" t="s">
        <v>18</v>
      </c>
      <c r="B190" s="54" t="s">
        <v>18</v>
      </c>
      <c r="C190" s="54" t="s">
        <v>24</v>
      </c>
      <c r="D190" s="54" t="s">
        <v>18</v>
      </c>
      <c r="E190" s="54" t="s">
        <v>24</v>
      </c>
      <c r="F190" s="54" t="s">
        <v>18</v>
      </c>
      <c r="G190" s="54" t="s">
        <v>43</v>
      </c>
      <c r="H190" s="54" t="s">
        <v>19</v>
      </c>
      <c r="I190" s="54" t="s">
        <v>24</v>
      </c>
      <c r="J190" s="54" t="s">
        <v>18</v>
      </c>
      <c r="K190" s="54" t="s">
        <v>18</v>
      </c>
      <c r="L190" s="54" t="s">
        <v>20</v>
      </c>
      <c r="M190" s="54" t="s">
        <v>18</v>
      </c>
      <c r="N190" s="54" t="s">
        <v>18</v>
      </c>
      <c r="O190" s="54" t="s">
        <v>18</v>
      </c>
      <c r="P190" s="54" t="s">
        <v>18</v>
      </c>
      <c r="Q190" s="54" t="s">
        <v>18</v>
      </c>
      <c r="R190" s="150" t="s">
        <v>138</v>
      </c>
      <c r="S190" s="55" t="s">
        <v>0</v>
      </c>
      <c r="T190" s="59">
        <f>T192+T193</f>
        <v>0</v>
      </c>
      <c r="U190" s="59">
        <f>SUM(U191:U193)</f>
        <v>22882.399999999998</v>
      </c>
      <c r="V190" s="59">
        <f t="shared" ref="V190:X190" si="79">SUM(V191:V193)</f>
        <v>0</v>
      </c>
      <c r="W190" s="59">
        <f t="shared" si="79"/>
        <v>0</v>
      </c>
      <c r="X190" s="59">
        <f t="shared" si="79"/>
        <v>0</v>
      </c>
      <c r="Y190" s="59">
        <f t="shared" ref="Y190:Z190" si="80">SUM(Y191:Y193)</f>
        <v>0</v>
      </c>
      <c r="Z190" s="59">
        <f t="shared" si="80"/>
        <v>0</v>
      </c>
      <c r="AA190" s="59">
        <f>SUM(T190:Z190)</f>
        <v>22882.399999999998</v>
      </c>
      <c r="AB190" s="58">
        <v>2020</v>
      </c>
      <c r="AC190" s="103"/>
    </row>
    <row r="191" spans="1:30" s="76" customFormat="1" x14ac:dyDescent="0.25">
      <c r="A191" s="54" t="s">
        <v>18</v>
      </c>
      <c r="B191" s="54" t="s">
        <v>18</v>
      </c>
      <c r="C191" s="54" t="s">
        <v>24</v>
      </c>
      <c r="D191" s="54" t="s">
        <v>18</v>
      </c>
      <c r="E191" s="54" t="s">
        <v>24</v>
      </c>
      <c r="F191" s="54" t="s">
        <v>18</v>
      </c>
      <c r="G191" s="54" t="s">
        <v>43</v>
      </c>
      <c r="H191" s="54" t="s">
        <v>19</v>
      </c>
      <c r="I191" s="54" t="s">
        <v>24</v>
      </c>
      <c r="J191" s="54" t="s">
        <v>18</v>
      </c>
      <c r="K191" s="54" t="s">
        <v>18</v>
      </c>
      <c r="L191" s="54" t="s">
        <v>20</v>
      </c>
      <c r="M191" s="54" t="s">
        <v>19</v>
      </c>
      <c r="N191" s="54" t="s">
        <v>18</v>
      </c>
      <c r="O191" s="54" t="s">
        <v>177</v>
      </c>
      <c r="P191" s="54" t="s">
        <v>21</v>
      </c>
      <c r="Q191" s="54" t="s">
        <v>25</v>
      </c>
      <c r="R191" s="150"/>
      <c r="S191" s="55" t="s">
        <v>0</v>
      </c>
      <c r="T191" s="1">
        <f>T193+T194</f>
        <v>0</v>
      </c>
      <c r="U191" s="1">
        <f>14400.1+2862.7</f>
        <v>17262.8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59">
        <f t="shared" ref="AA191:AA193" si="81">SUM(T191:Z191)</f>
        <v>17262.8</v>
      </c>
      <c r="AB191" s="58">
        <v>2020</v>
      </c>
      <c r="AC191" s="103"/>
    </row>
    <row r="192" spans="1:30" s="76" customFormat="1" x14ac:dyDescent="0.25">
      <c r="A192" s="54" t="s">
        <v>18</v>
      </c>
      <c r="B192" s="54" t="s">
        <v>18</v>
      </c>
      <c r="C192" s="54" t="s">
        <v>24</v>
      </c>
      <c r="D192" s="54" t="s">
        <v>18</v>
      </c>
      <c r="E192" s="54" t="s">
        <v>24</v>
      </c>
      <c r="F192" s="54" t="s">
        <v>18</v>
      </c>
      <c r="G192" s="54" t="s">
        <v>43</v>
      </c>
      <c r="H192" s="54" t="s">
        <v>19</v>
      </c>
      <c r="I192" s="54" t="s">
        <v>24</v>
      </c>
      <c r="J192" s="54" t="s">
        <v>18</v>
      </c>
      <c r="K192" s="54" t="s">
        <v>18</v>
      </c>
      <c r="L192" s="54" t="s">
        <v>20</v>
      </c>
      <c r="M192" s="54" t="s">
        <v>37</v>
      </c>
      <c r="N192" s="54" t="s">
        <v>18</v>
      </c>
      <c r="O192" s="54" t="s">
        <v>177</v>
      </c>
      <c r="P192" s="54" t="s">
        <v>21</v>
      </c>
      <c r="Q192" s="54" t="s">
        <v>25</v>
      </c>
      <c r="R192" s="150"/>
      <c r="S192" s="55" t="s">
        <v>0</v>
      </c>
      <c r="T192" s="1">
        <v>0</v>
      </c>
      <c r="U192" s="1">
        <f>3599.9+2545.7-290-443.1</f>
        <v>5412.5</v>
      </c>
      <c r="V192" s="1">
        <f>1096.5-1096.5</f>
        <v>0</v>
      </c>
      <c r="W192" s="1">
        <f>1500-1500</f>
        <v>0</v>
      </c>
      <c r="X192" s="1">
        <f>1500-1500</f>
        <v>0</v>
      </c>
      <c r="Y192" s="1">
        <f>1500-1500</f>
        <v>0</v>
      </c>
      <c r="Z192" s="1">
        <f>1500-1500</f>
        <v>0</v>
      </c>
      <c r="AA192" s="59">
        <f t="shared" si="81"/>
        <v>5412.5</v>
      </c>
      <c r="AB192" s="58">
        <v>2020</v>
      </c>
      <c r="AC192" s="103"/>
    </row>
    <row r="193" spans="1:30" s="76" customFormat="1" x14ac:dyDescent="0.25">
      <c r="A193" s="54" t="s">
        <v>18</v>
      </c>
      <c r="B193" s="54" t="s">
        <v>18</v>
      </c>
      <c r="C193" s="54" t="s">
        <v>24</v>
      </c>
      <c r="D193" s="54" t="s">
        <v>18</v>
      </c>
      <c r="E193" s="54" t="s">
        <v>24</v>
      </c>
      <c r="F193" s="54" t="s">
        <v>18</v>
      </c>
      <c r="G193" s="54" t="s">
        <v>43</v>
      </c>
      <c r="H193" s="54" t="s">
        <v>19</v>
      </c>
      <c r="I193" s="54" t="s">
        <v>24</v>
      </c>
      <c r="J193" s="54" t="s">
        <v>18</v>
      </c>
      <c r="K193" s="54" t="s">
        <v>18</v>
      </c>
      <c r="L193" s="54" t="s">
        <v>20</v>
      </c>
      <c r="M193" s="54" t="s">
        <v>43</v>
      </c>
      <c r="N193" s="54" t="s">
        <v>43</v>
      </c>
      <c r="O193" s="54" t="s">
        <v>43</v>
      </c>
      <c r="P193" s="54" t="s">
        <v>43</v>
      </c>
      <c r="Q193" s="54" t="s">
        <v>43</v>
      </c>
      <c r="R193" s="150"/>
      <c r="S193" s="55" t="s">
        <v>0</v>
      </c>
      <c r="T193" s="1">
        <v>0</v>
      </c>
      <c r="U193" s="1">
        <f>145-145+100+385.2+30.4-308.5</f>
        <v>207.10000000000002</v>
      </c>
      <c r="V193" s="1">
        <f>403.5-403.5</f>
        <v>0</v>
      </c>
      <c r="W193" s="1">
        <v>0</v>
      </c>
      <c r="X193" s="1">
        <v>0</v>
      </c>
      <c r="Y193" s="1">
        <v>0</v>
      </c>
      <c r="Z193" s="1">
        <v>0</v>
      </c>
      <c r="AA193" s="59">
        <f t="shared" si="81"/>
        <v>207.10000000000002</v>
      </c>
      <c r="AB193" s="58">
        <v>2020</v>
      </c>
      <c r="AC193" s="103"/>
    </row>
    <row r="194" spans="1:30" s="76" customFormat="1" ht="63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78" t="s">
        <v>292</v>
      </c>
      <c r="S194" s="62" t="s">
        <v>52</v>
      </c>
      <c r="T194" s="3">
        <v>0</v>
      </c>
      <c r="U194" s="3">
        <v>10.6</v>
      </c>
      <c r="V194" s="3">
        <f>3-3</f>
        <v>0</v>
      </c>
      <c r="W194" s="3">
        <v>0</v>
      </c>
      <c r="X194" s="3">
        <v>0</v>
      </c>
      <c r="Y194" s="3">
        <v>0</v>
      </c>
      <c r="Z194" s="3">
        <v>0</v>
      </c>
      <c r="AA194" s="6">
        <f>SUM(T194:Z194)</f>
        <v>10.6</v>
      </c>
      <c r="AB194" s="41">
        <v>2020</v>
      </c>
      <c r="AC194" s="103"/>
    </row>
    <row r="195" spans="1:30" s="76" customFormat="1" ht="47.25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80" t="s">
        <v>293</v>
      </c>
      <c r="S195" s="62" t="s">
        <v>38</v>
      </c>
      <c r="T195" s="44">
        <v>0</v>
      </c>
      <c r="U195" s="44">
        <v>4</v>
      </c>
      <c r="V195" s="44">
        <f>2-2</f>
        <v>0</v>
      </c>
      <c r="W195" s="44">
        <v>0</v>
      </c>
      <c r="X195" s="44">
        <v>0</v>
      </c>
      <c r="Y195" s="44">
        <v>0</v>
      </c>
      <c r="Z195" s="44">
        <v>0</v>
      </c>
      <c r="AA195" s="49">
        <f>SUM(T195:Z195)</f>
        <v>4</v>
      </c>
      <c r="AB195" s="41">
        <v>2020</v>
      </c>
      <c r="AC195" s="103"/>
      <c r="AD195" s="81"/>
    </row>
    <row r="196" spans="1:30" s="133" customFormat="1" ht="63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78" t="s">
        <v>301</v>
      </c>
      <c r="S196" s="52" t="s">
        <v>38</v>
      </c>
      <c r="T196" s="44">
        <v>0</v>
      </c>
      <c r="U196" s="44">
        <v>4</v>
      </c>
      <c r="V196" s="44">
        <v>0</v>
      </c>
      <c r="W196" s="44">
        <v>0</v>
      </c>
      <c r="X196" s="44">
        <v>0</v>
      </c>
      <c r="Y196" s="44">
        <v>0</v>
      </c>
      <c r="Z196" s="44">
        <v>0</v>
      </c>
      <c r="AA196" s="49">
        <f>SUM(T196:Z196)</f>
        <v>4</v>
      </c>
      <c r="AB196" s="41">
        <v>2020</v>
      </c>
      <c r="AC196" s="111"/>
      <c r="AD196" s="132"/>
    </row>
    <row r="197" spans="1:30" s="76" customFormat="1" x14ac:dyDescent="0.25">
      <c r="A197" s="54" t="s">
        <v>18</v>
      </c>
      <c r="B197" s="54" t="s">
        <v>18</v>
      </c>
      <c r="C197" s="54" t="s">
        <v>21</v>
      </c>
      <c r="D197" s="54" t="s">
        <v>18</v>
      </c>
      <c r="E197" s="54" t="s">
        <v>24</v>
      </c>
      <c r="F197" s="54" t="s">
        <v>18</v>
      </c>
      <c r="G197" s="54" t="s">
        <v>43</v>
      </c>
      <c r="H197" s="54" t="s">
        <v>19</v>
      </c>
      <c r="I197" s="54" t="s">
        <v>24</v>
      </c>
      <c r="J197" s="54" t="s">
        <v>18</v>
      </c>
      <c r="K197" s="54" t="s">
        <v>18</v>
      </c>
      <c r="L197" s="54" t="s">
        <v>20</v>
      </c>
      <c r="M197" s="54" t="s">
        <v>18</v>
      </c>
      <c r="N197" s="54" t="s">
        <v>18</v>
      </c>
      <c r="O197" s="54" t="s">
        <v>18</v>
      </c>
      <c r="P197" s="54" t="s">
        <v>18</v>
      </c>
      <c r="Q197" s="54" t="s">
        <v>18</v>
      </c>
      <c r="R197" s="150" t="s">
        <v>138</v>
      </c>
      <c r="S197" s="55" t="s">
        <v>0</v>
      </c>
      <c r="T197" s="59">
        <f>T199+T200</f>
        <v>0</v>
      </c>
      <c r="U197" s="59">
        <f>SUM(U198:U200)</f>
        <v>25870.1</v>
      </c>
      <c r="V197" s="59">
        <f t="shared" ref="V197:X197" si="82">SUM(V198:V200)</f>
        <v>30</v>
      </c>
      <c r="W197" s="59">
        <f t="shared" si="82"/>
        <v>0</v>
      </c>
      <c r="X197" s="59">
        <f t="shared" si="82"/>
        <v>0</v>
      </c>
      <c r="Y197" s="59">
        <f t="shared" ref="Y197:Z197" si="83">SUM(Y198:Y200)</f>
        <v>0</v>
      </c>
      <c r="Z197" s="59">
        <f t="shared" si="83"/>
        <v>0</v>
      </c>
      <c r="AA197" s="59">
        <f>SUM(T197:Z197)</f>
        <v>25900.1</v>
      </c>
      <c r="AB197" s="58">
        <v>2020</v>
      </c>
      <c r="AC197" s="103"/>
    </row>
    <row r="198" spans="1:30" s="76" customFormat="1" x14ac:dyDescent="0.25">
      <c r="A198" s="54" t="s">
        <v>18</v>
      </c>
      <c r="B198" s="54" t="s">
        <v>18</v>
      </c>
      <c r="C198" s="54" t="s">
        <v>21</v>
      </c>
      <c r="D198" s="54" t="s">
        <v>18</v>
      </c>
      <c r="E198" s="54" t="s">
        <v>24</v>
      </c>
      <c r="F198" s="54" t="s">
        <v>18</v>
      </c>
      <c r="G198" s="54" t="s">
        <v>43</v>
      </c>
      <c r="H198" s="54" t="s">
        <v>19</v>
      </c>
      <c r="I198" s="54" t="s">
        <v>24</v>
      </c>
      <c r="J198" s="54" t="s">
        <v>18</v>
      </c>
      <c r="K198" s="54" t="s">
        <v>18</v>
      </c>
      <c r="L198" s="54" t="s">
        <v>20</v>
      </c>
      <c r="M198" s="54" t="s">
        <v>19</v>
      </c>
      <c r="N198" s="54" t="s">
        <v>18</v>
      </c>
      <c r="O198" s="54" t="s">
        <v>177</v>
      </c>
      <c r="P198" s="54" t="s">
        <v>21</v>
      </c>
      <c r="Q198" s="54" t="s">
        <v>25</v>
      </c>
      <c r="R198" s="150"/>
      <c r="S198" s="55" t="s">
        <v>0</v>
      </c>
      <c r="T198" s="1">
        <v>0</v>
      </c>
      <c r="U198" s="1">
        <f>16800.1+3497.2</f>
        <v>20297.3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59">
        <f t="shared" ref="AA198:AA199" si="84">SUM(T198:Z198)</f>
        <v>20297.3</v>
      </c>
      <c r="AB198" s="58">
        <v>2020</v>
      </c>
      <c r="AC198" s="103"/>
    </row>
    <row r="199" spans="1:30" s="76" customFormat="1" x14ac:dyDescent="0.25">
      <c r="A199" s="54" t="s">
        <v>18</v>
      </c>
      <c r="B199" s="54" t="s">
        <v>18</v>
      </c>
      <c r="C199" s="54" t="s">
        <v>21</v>
      </c>
      <c r="D199" s="54" t="s">
        <v>18</v>
      </c>
      <c r="E199" s="54" t="s">
        <v>24</v>
      </c>
      <c r="F199" s="54" t="s">
        <v>18</v>
      </c>
      <c r="G199" s="54" t="s">
        <v>43</v>
      </c>
      <c r="H199" s="54" t="s">
        <v>19</v>
      </c>
      <c r="I199" s="54" t="s">
        <v>24</v>
      </c>
      <c r="J199" s="54" t="s">
        <v>18</v>
      </c>
      <c r="K199" s="54" t="s">
        <v>18</v>
      </c>
      <c r="L199" s="54" t="s">
        <v>20</v>
      </c>
      <c r="M199" s="54" t="s">
        <v>37</v>
      </c>
      <c r="N199" s="54" t="s">
        <v>18</v>
      </c>
      <c r="O199" s="54" t="s">
        <v>177</v>
      </c>
      <c r="P199" s="54" t="s">
        <v>21</v>
      </c>
      <c r="Q199" s="54" t="s">
        <v>25</v>
      </c>
      <c r="R199" s="150"/>
      <c r="S199" s="55" t="s">
        <v>0</v>
      </c>
      <c r="T199" s="1">
        <v>0</v>
      </c>
      <c r="U199" s="1">
        <f>4199.9+588.4+1708.4-290-845.8</f>
        <v>5360.8999999999987</v>
      </c>
      <c r="V199" s="1">
        <f>1355-1355</f>
        <v>0</v>
      </c>
      <c r="W199" s="1">
        <f>1500-1500</f>
        <v>0</v>
      </c>
      <c r="X199" s="1">
        <f>1500-1500</f>
        <v>0</v>
      </c>
      <c r="Y199" s="1">
        <f>1500-1500</f>
        <v>0</v>
      </c>
      <c r="Z199" s="1">
        <f>1500-1500</f>
        <v>0</v>
      </c>
      <c r="AA199" s="59">
        <f t="shared" si="84"/>
        <v>5360.8999999999987</v>
      </c>
      <c r="AB199" s="58">
        <v>2020</v>
      </c>
      <c r="AC199" s="103"/>
    </row>
    <row r="200" spans="1:30" s="76" customFormat="1" x14ac:dyDescent="0.25">
      <c r="A200" s="54" t="s">
        <v>18</v>
      </c>
      <c r="B200" s="54" t="s">
        <v>18</v>
      </c>
      <c r="C200" s="54" t="s">
        <v>21</v>
      </c>
      <c r="D200" s="54" t="s">
        <v>18</v>
      </c>
      <c r="E200" s="54" t="s">
        <v>24</v>
      </c>
      <c r="F200" s="54" t="s">
        <v>18</v>
      </c>
      <c r="G200" s="54" t="s">
        <v>43</v>
      </c>
      <c r="H200" s="54" t="s">
        <v>19</v>
      </c>
      <c r="I200" s="54" t="s">
        <v>24</v>
      </c>
      <c r="J200" s="54" t="s">
        <v>18</v>
      </c>
      <c r="K200" s="54" t="s">
        <v>18</v>
      </c>
      <c r="L200" s="54" t="s">
        <v>20</v>
      </c>
      <c r="M200" s="54" t="s">
        <v>43</v>
      </c>
      <c r="N200" s="54" t="s">
        <v>43</v>
      </c>
      <c r="O200" s="54" t="s">
        <v>43</v>
      </c>
      <c r="P200" s="54" t="s">
        <v>43</v>
      </c>
      <c r="Q200" s="54" t="s">
        <v>43</v>
      </c>
      <c r="R200" s="150"/>
      <c r="S200" s="55" t="s">
        <v>0</v>
      </c>
      <c r="T200" s="1">
        <v>0</v>
      </c>
      <c r="U200" s="1">
        <f>145-145+100+449.4+12.6+23.8-373.9</f>
        <v>211.89999999999998</v>
      </c>
      <c r="V200" s="1">
        <f>145-115</f>
        <v>30</v>
      </c>
      <c r="W200" s="1">
        <v>0</v>
      </c>
      <c r="X200" s="1">
        <v>0</v>
      </c>
      <c r="Y200" s="1">
        <v>0</v>
      </c>
      <c r="Z200" s="1">
        <v>0</v>
      </c>
      <c r="AA200" s="59">
        <f>SUM(T200:Z200)</f>
        <v>241.89999999999998</v>
      </c>
      <c r="AB200" s="58">
        <v>2020</v>
      </c>
      <c r="AC200" s="103"/>
    </row>
    <row r="201" spans="1:30" s="76" customFormat="1" ht="63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294</v>
      </c>
      <c r="S201" s="62" t="s">
        <v>52</v>
      </c>
      <c r="T201" s="44">
        <v>0</v>
      </c>
      <c r="U201" s="3">
        <v>11.9</v>
      </c>
      <c r="V201" s="3">
        <f>4-4</f>
        <v>0</v>
      </c>
      <c r="W201" s="3">
        <v>0</v>
      </c>
      <c r="X201" s="3">
        <v>0</v>
      </c>
      <c r="Y201" s="3">
        <v>0</v>
      </c>
      <c r="Z201" s="3">
        <v>0</v>
      </c>
      <c r="AA201" s="49">
        <f>SUM(T201:Z201)</f>
        <v>11.9</v>
      </c>
      <c r="AB201" s="41">
        <v>2020</v>
      </c>
      <c r="AC201" s="103"/>
    </row>
    <row r="202" spans="1:30" s="76" customFormat="1" ht="47.25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80" t="s">
        <v>295</v>
      </c>
      <c r="S202" s="62" t="s">
        <v>38</v>
      </c>
      <c r="T202" s="44">
        <v>0</v>
      </c>
      <c r="U202" s="44">
        <v>3</v>
      </c>
      <c r="V202" s="44">
        <f>3-3</f>
        <v>0</v>
      </c>
      <c r="W202" s="44">
        <v>0</v>
      </c>
      <c r="X202" s="44">
        <v>0</v>
      </c>
      <c r="Y202" s="44">
        <v>0</v>
      </c>
      <c r="Z202" s="44">
        <v>0</v>
      </c>
      <c r="AA202" s="49">
        <f>SUM(T202:Z202)</f>
        <v>3</v>
      </c>
      <c r="AB202" s="41">
        <v>2020</v>
      </c>
      <c r="AC202" s="103"/>
      <c r="AD202" s="81"/>
    </row>
    <row r="203" spans="1:30" s="133" customFormat="1" ht="63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78" t="s">
        <v>302</v>
      </c>
      <c r="S203" s="52" t="s">
        <v>38</v>
      </c>
      <c r="T203" s="44">
        <v>0</v>
      </c>
      <c r="U203" s="44">
        <v>3</v>
      </c>
      <c r="V203" s="44">
        <v>1</v>
      </c>
      <c r="W203" s="44">
        <v>0</v>
      </c>
      <c r="X203" s="44">
        <v>0</v>
      </c>
      <c r="Y203" s="44">
        <v>0</v>
      </c>
      <c r="Z203" s="44">
        <v>0</v>
      </c>
      <c r="AA203" s="49">
        <f>SUM(T203:Z203)</f>
        <v>4</v>
      </c>
      <c r="AB203" s="41">
        <v>2020</v>
      </c>
      <c r="AC203" s="111"/>
      <c r="AD203" s="132"/>
    </row>
    <row r="204" spans="1:30" s="76" customFormat="1" ht="20.45" customHeight="1" x14ac:dyDescent="0.25">
      <c r="A204" s="54" t="s">
        <v>18</v>
      </c>
      <c r="B204" s="54" t="s">
        <v>18</v>
      </c>
      <c r="C204" s="54" t="s">
        <v>25</v>
      </c>
      <c r="D204" s="54" t="s">
        <v>18</v>
      </c>
      <c r="E204" s="54" t="s">
        <v>24</v>
      </c>
      <c r="F204" s="54" t="s">
        <v>18</v>
      </c>
      <c r="G204" s="54" t="s">
        <v>43</v>
      </c>
      <c r="H204" s="54" t="s">
        <v>19</v>
      </c>
      <c r="I204" s="54" t="s">
        <v>24</v>
      </c>
      <c r="J204" s="54" t="s">
        <v>18</v>
      </c>
      <c r="K204" s="54" t="s">
        <v>18</v>
      </c>
      <c r="L204" s="54" t="s">
        <v>20</v>
      </c>
      <c r="M204" s="54" t="s">
        <v>18</v>
      </c>
      <c r="N204" s="54" t="s">
        <v>18</v>
      </c>
      <c r="O204" s="54" t="s">
        <v>18</v>
      </c>
      <c r="P204" s="54" t="s">
        <v>18</v>
      </c>
      <c r="Q204" s="54" t="s">
        <v>18</v>
      </c>
      <c r="R204" s="150" t="s">
        <v>138</v>
      </c>
      <c r="S204" s="55" t="s">
        <v>0</v>
      </c>
      <c r="T204" s="59">
        <f>T206+T207</f>
        <v>0</v>
      </c>
      <c r="U204" s="59">
        <f>SUM(U205:U207)</f>
        <v>10158.9</v>
      </c>
      <c r="V204" s="59">
        <f t="shared" ref="V204:X204" si="85">SUM(V205:V207)</f>
        <v>491</v>
      </c>
      <c r="W204" s="59">
        <f t="shared" si="85"/>
        <v>0</v>
      </c>
      <c r="X204" s="59">
        <f t="shared" si="85"/>
        <v>0</v>
      </c>
      <c r="Y204" s="59">
        <f t="shared" ref="Y204:Z204" si="86">SUM(Y205:Y207)</f>
        <v>0</v>
      </c>
      <c r="Z204" s="59">
        <f t="shared" si="86"/>
        <v>0</v>
      </c>
      <c r="AA204" s="59">
        <f t="shared" ref="AA204:AA207" si="87">SUM(T204:Z204)</f>
        <v>10649.9</v>
      </c>
      <c r="AB204" s="58">
        <v>2020</v>
      </c>
      <c r="AC204" s="103"/>
    </row>
    <row r="205" spans="1:30" s="76" customFormat="1" x14ac:dyDescent="0.25">
      <c r="A205" s="54" t="s">
        <v>18</v>
      </c>
      <c r="B205" s="54" t="s">
        <v>18</v>
      </c>
      <c r="C205" s="54" t="s">
        <v>25</v>
      </c>
      <c r="D205" s="54" t="s">
        <v>18</v>
      </c>
      <c r="E205" s="54" t="s">
        <v>24</v>
      </c>
      <c r="F205" s="54" t="s">
        <v>18</v>
      </c>
      <c r="G205" s="54" t="s">
        <v>43</v>
      </c>
      <c r="H205" s="54" t="s">
        <v>19</v>
      </c>
      <c r="I205" s="54" t="s">
        <v>24</v>
      </c>
      <c r="J205" s="54" t="s">
        <v>18</v>
      </c>
      <c r="K205" s="54" t="s">
        <v>18</v>
      </c>
      <c r="L205" s="54" t="s">
        <v>20</v>
      </c>
      <c r="M205" s="54" t="s">
        <v>19</v>
      </c>
      <c r="N205" s="54" t="s">
        <v>18</v>
      </c>
      <c r="O205" s="54" t="s">
        <v>177</v>
      </c>
      <c r="P205" s="54" t="s">
        <v>21</v>
      </c>
      <c r="Q205" s="54" t="s">
        <v>25</v>
      </c>
      <c r="R205" s="150"/>
      <c r="S205" s="55" t="s">
        <v>0</v>
      </c>
      <c r="T205" s="1">
        <v>0</v>
      </c>
      <c r="U205" s="1">
        <f>9600-1604.2</f>
        <v>7995.8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59">
        <f t="shared" si="87"/>
        <v>7995.8</v>
      </c>
      <c r="AB205" s="58">
        <v>2020</v>
      </c>
      <c r="AC205" s="103"/>
    </row>
    <row r="206" spans="1:30" s="76" customFormat="1" x14ac:dyDescent="0.25">
      <c r="A206" s="54" t="s">
        <v>18</v>
      </c>
      <c r="B206" s="54" t="s">
        <v>18</v>
      </c>
      <c r="C206" s="54" t="s">
        <v>25</v>
      </c>
      <c r="D206" s="54" t="s">
        <v>18</v>
      </c>
      <c r="E206" s="54" t="s">
        <v>24</v>
      </c>
      <c r="F206" s="54" t="s">
        <v>18</v>
      </c>
      <c r="G206" s="54" t="s">
        <v>43</v>
      </c>
      <c r="H206" s="54" t="s">
        <v>19</v>
      </c>
      <c r="I206" s="54" t="s">
        <v>24</v>
      </c>
      <c r="J206" s="54" t="s">
        <v>18</v>
      </c>
      <c r="K206" s="54" t="s">
        <v>18</v>
      </c>
      <c r="L206" s="54" t="s">
        <v>20</v>
      </c>
      <c r="M206" s="54" t="s">
        <v>37</v>
      </c>
      <c r="N206" s="54" t="s">
        <v>18</v>
      </c>
      <c r="O206" s="54" t="s">
        <v>177</v>
      </c>
      <c r="P206" s="54" t="s">
        <v>21</v>
      </c>
      <c r="Q206" s="54" t="s">
        <v>25</v>
      </c>
      <c r="R206" s="150"/>
      <c r="S206" s="55" t="s">
        <v>0</v>
      </c>
      <c r="T206" s="1">
        <v>0</v>
      </c>
      <c r="U206" s="1">
        <f>2401-402-43.9</f>
        <v>1955.1</v>
      </c>
      <c r="V206" s="1">
        <f>798.8-798.8</f>
        <v>0</v>
      </c>
      <c r="W206" s="1">
        <f>1500-1500</f>
        <v>0</v>
      </c>
      <c r="X206" s="1">
        <f>1500-1500</f>
        <v>0</v>
      </c>
      <c r="Y206" s="1">
        <f>1500-1500</f>
        <v>0</v>
      </c>
      <c r="Z206" s="1">
        <f>1500-1500</f>
        <v>0</v>
      </c>
      <c r="AA206" s="59">
        <f t="shared" si="87"/>
        <v>1955.1</v>
      </c>
      <c r="AB206" s="58">
        <v>2020</v>
      </c>
      <c r="AC206" s="103"/>
    </row>
    <row r="207" spans="1:30" s="76" customFormat="1" x14ac:dyDescent="0.25">
      <c r="A207" s="54" t="s">
        <v>18</v>
      </c>
      <c r="B207" s="54" t="s">
        <v>18</v>
      </c>
      <c r="C207" s="54" t="s">
        <v>25</v>
      </c>
      <c r="D207" s="54" t="s">
        <v>18</v>
      </c>
      <c r="E207" s="54" t="s">
        <v>24</v>
      </c>
      <c r="F207" s="54" t="s">
        <v>18</v>
      </c>
      <c r="G207" s="54" t="s">
        <v>43</v>
      </c>
      <c r="H207" s="54" t="s">
        <v>19</v>
      </c>
      <c r="I207" s="54" t="s">
        <v>24</v>
      </c>
      <c r="J207" s="54" t="s">
        <v>18</v>
      </c>
      <c r="K207" s="54" t="s">
        <v>18</v>
      </c>
      <c r="L207" s="54" t="s">
        <v>20</v>
      </c>
      <c r="M207" s="54" t="s">
        <v>43</v>
      </c>
      <c r="N207" s="54" t="s">
        <v>43</v>
      </c>
      <c r="O207" s="54" t="s">
        <v>43</v>
      </c>
      <c r="P207" s="54" t="s">
        <v>43</v>
      </c>
      <c r="Q207" s="54" t="s">
        <v>43</v>
      </c>
      <c r="R207" s="150"/>
      <c r="S207" s="55" t="s">
        <v>0</v>
      </c>
      <c r="T207" s="1">
        <v>0</v>
      </c>
      <c r="U207" s="1">
        <f>356.9+402-550.9</f>
        <v>208</v>
      </c>
      <c r="V207" s="1">
        <f>701.2-88.6-121.6</f>
        <v>491</v>
      </c>
      <c r="W207" s="1">
        <v>0</v>
      </c>
      <c r="X207" s="1">
        <v>0</v>
      </c>
      <c r="Y207" s="1">
        <v>0</v>
      </c>
      <c r="Z207" s="1">
        <v>0</v>
      </c>
      <c r="AA207" s="59">
        <f t="shared" si="87"/>
        <v>699</v>
      </c>
      <c r="AB207" s="58">
        <v>2020</v>
      </c>
      <c r="AC207" s="103"/>
    </row>
    <row r="208" spans="1:30" s="76" customFormat="1" ht="63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78" t="s">
        <v>296</v>
      </c>
      <c r="S208" s="62" t="s">
        <v>52</v>
      </c>
      <c r="T208" s="3">
        <v>0</v>
      </c>
      <c r="U208" s="3">
        <v>4.0999999999999996</v>
      </c>
      <c r="V208" s="3">
        <f>1.3-1.3</f>
        <v>0</v>
      </c>
      <c r="W208" s="3">
        <v>0</v>
      </c>
      <c r="X208" s="3">
        <v>0</v>
      </c>
      <c r="Y208" s="3">
        <v>0</v>
      </c>
      <c r="Z208" s="3">
        <v>0</v>
      </c>
      <c r="AA208" s="6">
        <f>SUM(T208:Z208)</f>
        <v>4.0999999999999996</v>
      </c>
      <c r="AB208" s="41">
        <v>2020</v>
      </c>
      <c r="AC208" s="103"/>
    </row>
    <row r="209" spans="1:31" s="76" customFormat="1" ht="4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80" t="s">
        <v>297</v>
      </c>
      <c r="S209" s="62" t="s">
        <v>38</v>
      </c>
      <c r="T209" s="44">
        <v>0</v>
      </c>
      <c r="U209" s="44">
        <v>5</v>
      </c>
      <c r="V209" s="44">
        <f>1-1</f>
        <v>0</v>
      </c>
      <c r="W209" s="44">
        <v>0</v>
      </c>
      <c r="X209" s="44">
        <v>0</v>
      </c>
      <c r="Y209" s="44">
        <v>0</v>
      </c>
      <c r="Z209" s="44">
        <v>0</v>
      </c>
      <c r="AA209" s="6">
        <f t="shared" ref="AA209:AA210" si="88">SUM(T209:Z209)</f>
        <v>5</v>
      </c>
      <c r="AB209" s="41">
        <v>2020</v>
      </c>
      <c r="AC209" s="103"/>
      <c r="AD209" s="81"/>
    </row>
    <row r="210" spans="1:31" s="133" customFormat="1" ht="63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78" t="s">
        <v>348</v>
      </c>
      <c r="S210" s="52" t="s">
        <v>38</v>
      </c>
      <c r="T210" s="44">
        <v>0</v>
      </c>
      <c r="U210" s="44">
        <v>5</v>
      </c>
      <c r="V210" s="44">
        <v>8</v>
      </c>
      <c r="W210" s="44">
        <v>0</v>
      </c>
      <c r="X210" s="44">
        <v>0</v>
      </c>
      <c r="Y210" s="44">
        <v>0</v>
      </c>
      <c r="Z210" s="44">
        <v>0</v>
      </c>
      <c r="AA210" s="49">
        <f t="shared" si="88"/>
        <v>13</v>
      </c>
      <c r="AB210" s="41">
        <v>2020</v>
      </c>
      <c r="AC210" s="111"/>
      <c r="AD210" s="132"/>
    </row>
    <row r="211" spans="1:31" s="76" customFormat="1" ht="20.45" customHeight="1" x14ac:dyDescent="0.25">
      <c r="A211" s="54" t="s">
        <v>18</v>
      </c>
      <c r="B211" s="54" t="s">
        <v>19</v>
      </c>
      <c r="C211" s="54" t="s">
        <v>20</v>
      </c>
      <c r="D211" s="54" t="s">
        <v>18</v>
      </c>
      <c r="E211" s="54" t="s">
        <v>24</v>
      </c>
      <c r="F211" s="54" t="s">
        <v>18</v>
      </c>
      <c r="G211" s="54" t="s">
        <v>43</v>
      </c>
      <c r="H211" s="54" t="s">
        <v>19</v>
      </c>
      <c r="I211" s="54" t="s">
        <v>24</v>
      </c>
      <c r="J211" s="54" t="s">
        <v>18</v>
      </c>
      <c r="K211" s="54" t="s">
        <v>18</v>
      </c>
      <c r="L211" s="54" t="s">
        <v>20</v>
      </c>
      <c r="M211" s="54" t="s">
        <v>18</v>
      </c>
      <c r="N211" s="54" t="s">
        <v>18</v>
      </c>
      <c r="O211" s="54" t="s">
        <v>18</v>
      </c>
      <c r="P211" s="54" t="s">
        <v>18</v>
      </c>
      <c r="Q211" s="54" t="s">
        <v>18</v>
      </c>
      <c r="R211" s="150" t="s">
        <v>138</v>
      </c>
      <c r="S211" s="55" t="s">
        <v>0</v>
      </c>
      <c r="T211" s="59">
        <f t="shared" ref="T211:Y211" si="89">SUM(T212:T214)</f>
        <v>123487.5</v>
      </c>
      <c r="U211" s="59">
        <f t="shared" si="89"/>
        <v>579.5</v>
      </c>
      <c r="V211" s="59">
        <f t="shared" si="89"/>
        <v>0</v>
      </c>
      <c r="W211" s="59">
        <f t="shared" si="89"/>
        <v>0</v>
      </c>
      <c r="X211" s="59">
        <f t="shared" si="89"/>
        <v>0</v>
      </c>
      <c r="Y211" s="59">
        <f t="shared" si="89"/>
        <v>0</v>
      </c>
      <c r="Z211" s="59">
        <f t="shared" ref="Z211" si="90">SUM(Z212:Z214)</f>
        <v>0</v>
      </c>
      <c r="AA211" s="59">
        <f t="shared" ref="AA211:AA216" si="91">SUM(T211:Z211)</f>
        <v>124067</v>
      </c>
      <c r="AB211" s="58">
        <v>2019</v>
      </c>
      <c r="AC211" s="120"/>
    </row>
    <row r="212" spans="1:31" s="76" customFormat="1" x14ac:dyDescent="0.25">
      <c r="A212" s="54" t="s">
        <v>18</v>
      </c>
      <c r="B212" s="54" t="s">
        <v>19</v>
      </c>
      <c r="C212" s="54" t="s">
        <v>20</v>
      </c>
      <c r="D212" s="54" t="s">
        <v>18</v>
      </c>
      <c r="E212" s="54" t="s">
        <v>24</v>
      </c>
      <c r="F212" s="54" t="s">
        <v>18</v>
      </c>
      <c r="G212" s="54" t="s">
        <v>43</v>
      </c>
      <c r="H212" s="54" t="s">
        <v>19</v>
      </c>
      <c r="I212" s="54" t="s">
        <v>24</v>
      </c>
      <c r="J212" s="54" t="s">
        <v>18</v>
      </c>
      <c r="K212" s="54" t="s">
        <v>18</v>
      </c>
      <c r="L212" s="54" t="s">
        <v>20</v>
      </c>
      <c r="M212" s="54" t="s">
        <v>19</v>
      </c>
      <c r="N212" s="54" t="s">
        <v>18</v>
      </c>
      <c r="O212" s="54" t="s">
        <v>177</v>
      </c>
      <c r="P212" s="54" t="s">
        <v>21</v>
      </c>
      <c r="Q212" s="54" t="s">
        <v>25</v>
      </c>
      <c r="R212" s="150"/>
      <c r="S212" s="55" t="s">
        <v>0</v>
      </c>
      <c r="T212" s="1">
        <v>78128.899999999994</v>
      </c>
      <c r="U212" s="1">
        <f>57600.3-57600.3</f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59">
        <f t="shared" si="91"/>
        <v>78128.899999999994</v>
      </c>
      <c r="AB212" s="58">
        <v>2018</v>
      </c>
      <c r="AC212" s="33"/>
    </row>
    <row r="213" spans="1:31" s="76" customFormat="1" x14ac:dyDescent="0.25">
      <c r="A213" s="54" t="s">
        <v>18</v>
      </c>
      <c r="B213" s="54" t="s">
        <v>19</v>
      </c>
      <c r="C213" s="54" t="s">
        <v>20</v>
      </c>
      <c r="D213" s="54" t="s">
        <v>18</v>
      </c>
      <c r="E213" s="54" t="s">
        <v>24</v>
      </c>
      <c r="F213" s="54" t="s">
        <v>18</v>
      </c>
      <c r="G213" s="54" t="s">
        <v>43</v>
      </c>
      <c r="H213" s="54" t="s">
        <v>19</v>
      </c>
      <c r="I213" s="54" t="s">
        <v>24</v>
      </c>
      <c r="J213" s="54" t="s">
        <v>18</v>
      </c>
      <c r="K213" s="54" t="s">
        <v>18</v>
      </c>
      <c r="L213" s="54" t="s">
        <v>20</v>
      </c>
      <c r="M213" s="54" t="s">
        <v>37</v>
      </c>
      <c r="N213" s="54" t="s">
        <v>18</v>
      </c>
      <c r="O213" s="54" t="s">
        <v>177</v>
      </c>
      <c r="P213" s="54" t="s">
        <v>21</v>
      </c>
      <c r="Q213" s="54" t="s">
        <v>25</v>
      </c>
      <c r="R213" s="150"/>
      <c r="S213" s="55" t="s">
        <v>0</v>
      </c>
      <c r="T213" s="1">
        <f>18932.6+19997.4+4074.8+2495.5-26-605.7-796.8</f>
        <v>44071.8</v>
      </c>
      <c r="U213" s="1">
        <f>0+14400.7-14400.7</f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59">
        <f t="shared" si="91"/>
        <v>44071.8</v>
      </c>
      <c r="AB213" s="58">
        <v>2018</v>
      </c>
      <c r="AC213" s="33"/>
    </row>
    <row r="214" spans="1:31" s="76" customFormat="1" x14ac:dyDescent="0.25">
      <c r="A214" s="54" t="s">
        <v>18</v>
      </c>
      <c r="B214" s="54" t="s">
        <v>19</v>
      </c>
      <c r="C214" s="54" t="s">
        <v>20</v>
      </c>
      <c r="D214" s="54" t="s">
        <v>18</v>
      </c>
      <c r="E214" s="54" t="s">
        <v>24</v>
      </c>
      <c r="F214" s="54" t="s">
        <v>18</v>
      </c>
      <c r="G214" s="54" t="s">
        <v>43</v>
      </c>
      <c r="H214" s="54" t="s">
        <v>19</v>
      </c>
      <c r="I214" s="54" t="s">
        <v>24</v>
      </c>
      <c r="J214" s="54" t="s">
        <v>18</v>
      </c>
      <c r="K214" s="54" t="s">
        <v>18</v>
      </c>
      <c r="L214" s="54" t="s">
        <v>20</v>
      </c>
      <c r="M214" s="54" t="s">
        <v>43</v>
      </c>
      <c r="N214" s="54" t="s">
        <v>43</v>
      </c>
      <c r="O214" s="54" t="s">
        <v>43</v>
      </c>
      <c r="P214" s="54" t="s">
        <v>43</v>
      </c>
      <c r="Q214" s="54" t="s">
        <v>43</v>
      </c>
      <c r="R214" s="150"/>
      <c r="S214" s="55" t="s">
        <v>0</v>
      </c>
      <c r="T214" s="1">
        <f>2076.9+439-203.1-904.8-121.2</f>
        <v>1286.8000000000002</v>
      </c>
      <c r="U214" s="1">
        <v>579.5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59">
        <f t="shared" si="91"/>
        <v>1866.3000000000002</v>
      </c>
      <c r="AB214" s="58">
        <v>2019</v>
      </c>
      <c r="AC214" s="33"/>
    </row>
    <row r="215" spans="1:31" s="133" customFormat="1" ht="60.6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78" t="s">
        <v>298</v>
      </c>
      <c r="S215" s="52" t="s">
        <v>52</v>
      </c>
      <c r="T215" s="3">
        <v>58.6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6">
        <f t="shared" si="91"/>
        <v>58.6</v>
      </c>
      <c r="AB215" s="41">
        <v>2018</v>
      </c>
      <c r="AC215" s="111"/>
    </row>
    <row r="216" spans="1:31" s="133" customFormat="1" ht="47.25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78" t="s">
        <v>299</v>
      </c>
      <c r="S216" s="52" t="s">
        <v>38</v>
      </c>
      <c r="T216" s="44">
        <v>28</v>
      </c>
      <c r="U216" s="44">
        <v>0</v>
      </c>
      <c r="V216" s="44">
        <v>0</v>
      </c>
      <c r="W216" s="44">
        <v>0</v>
      </c>
      <c r="X216" s="44">
        <v>0</v>
      </c>
      <c r="Y216" s="44">
        <v>0</v>
      </c>
      <c r="Z216" s="44">
        <v>0</v>
      </c>
      <c r="AA216" s="49">
        <f t="shared" si="91"/>
        <v>28</v>
      </c>
      <c r="AB216" s="41">
        <v>2018</v>
      </c>
      <c r="AC216" s="111"/>
      <c r="AD216" s="132"/>
    </row>
    <row r="217" spans="1:31" s="76" customFormat="1" ht="31.5" x14ac:dyDescent="0.25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77" t="s">
        <v>183</v>
      </c>
      <c r="S217" s="55" t="s">
        <v>49</v>
      </c>
      <c r="T217" s="56">
        <v>1</v>
      </c>
      <c r="U217" s="56">
        <v>1</v>
      </c>
      <c r="V217" s="56">
        <v>1</v>
      </c>
      <c r="W217" s="56">
        <v>1</v>
      </c>
      <c r="X217" s="56">
        <v>1</v>
      </c>
      <c r="Y217" s="56">
        <v>1</v>
      </c>
      <c r="Z217" s="56">
        <v>1</v>
      </c>
      <c r="AA217" s="57">
        <v>1</v>
      </c>
      <c r="AB217" s="58">
        <v>2024</v>
      </c>
      <c r="AC217" s="33"/>
    </row>
    <row r="218" spans="1:31" ht="39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78" t="s">
        <v>139</v>
      </c>
      <c r="S218" s="41" t="s">
        <v>50</v>
      </c>
      <c r="T218" s="44">
        <f>25+19+31+16</f>
        <v>91</v>
      </c>
      <c r="U218" s="44">
        <f>6+15+31+5</f>
        <v>57</v>
      </c>
      <c r="V218" s="44">
        <f>50+19+31+70-60-49</f>
        <v>61</v>
      </c>
      <c r="W218" s="44">
        <f t="shared" ref="W218:Z218" si="92">50+19+31+70-60-49</f>
        <v>61</v>
      </c>
      <c r="X218" s="44">
        <f t="shared" si="92"/>
        <v>61</v>
      </c>
      <c r="Y218" s="44">
        <f t="shared" si="92"/>
        <v>61</v>
      </c>
      <c r="Z218" s="44">
        <f t="shared" si="92"/>
        <v>61</v>
      </c>
      <c r="AA218" s="49">
        <f>SUM(T218:Z218)</f>
        <v>453</v>
      </c>
      <c r="AB218" s="41">
        <v>2024</v>
      </c>
      <c r="AC218" s="128"/>
      <c r="AD218" s="101"/>
      <c r="AE218" s="101"/>
    </row>
    <row r="219" spans="1:31" ht="31.5" x14ac:dyDescent="0.25">
      <c r="A219" s="54"/>
      <c r="B219" s="54"/>
      <c r="C219" s="54"/>
      <c r="D219" s="54"/>
      <c r="E219" s="54"/>
      <c r="F219" s="54"/>
      <c r="G219" s="54"/>
      <c r="H219" s="54" t="s">
        <v>19</v>
      </c>
      <c r="I219" s="54" t="s">
        <v>24</v>
      </c>
      <c r="J219" s="54" t="s">
        <v>18</v>
      </c>
      <c r="K219" s="54" t="s">
        <v>18</v>
      </c>
      <c r="L219" s="54" t="s">
        <v>20</v>
      </c>
      <c r="M219" s="54" t="s">
        <v>18</v>
      </c>
      <c r="N219" s="54" t="s">
        <v>18</v>
      </c>
      <c r="O219" s="54" t="s">
        <v>18</v>
      </c>
      <c r="P219" s="54" t="s">
        <v>18</v>
      </c>
      <c r="Q219" s="54" t="s">
        <v>18</v>
      </c>
      <c r="R219" s="77" t="s">
        <v>140</v>
      </c>
      <c r="S219" s="58" t="s">
        <v>0</v>
      </c>
      <c r="T219" s="59">
        <f>T222+T266+T397+T306+T471</f>
        <v>22266.715</v>
      </c>
      <c r="U219" s="59">
        <f>U222+U266+U397+U306+U471</f>
        <v>22466.400000000001</v>
      </c>
      <c r="V219" s="59">
        <f>V222+V266+V397+V306+V471</f>
        <v>7085.3</v>
      </c>
      <c r="W219" s="59">
        <v>0</v>
      </c>
      <c r="X219" s="59">
        <v>0</v>
      </c>
      <c r="Y219" s="59">
        <v>0</v>
      </c>
      <c r="Z219" s="59">
        <v>8228.2999999999993</v>
      </c>
      <c r="AA219" s="59">
        <f>SUM(T219:Z219)</f>
        <v>60046.715000000011</v>
      </c>
      <c r="AB219" s="58">
        <v>2024</v>
      </c>
      <c r="AC219" s="37"/>
      <c r="AD219" s="101"/>
      <c r="AE219" s="101"/>
    </row>
    <row r="220" spans="1:31" ht="31.5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80" t="s">
        <v>187</v>
      </c>
      <c r="S220" s="62" t="s">
        <v>52</v>
      </c>
      <c r="T220" s="3">
        <f>T273+T314+T403</f>
        <v>4.4000000000000004</v>
      </c>
      <c r="U220" s="3">
        <f>U273+U314+U403+U229</f>
        <v>4</v>
      </c>
      <c r="V220" s="3">
        <f>V273+V314+V403+V229</f>
        <v>1.7000000000000002</v>
      </c>
      <c r="W220" s="3">
        <f t="shared" ref="W220:Y220" si="93">W273+W314+W403+W229</f>
        <v>0</v>
      </c>
      <c r="X220" s="3">
        <f t="shared" si="93"/>
        <v>0</v>
      </c>
      <c r="Y220" s="3">
        <f t="shared" si="93"/>
        <v>0</v>
      </c>
      <c r="Z220" s="3">
        <v>7</v>
      </c>
      <c r="AA220" s="6">
        <f>SUM(T220:Z220)</f>
        <v>17.100000000000001</v>
      </c>
      <c r="AB220" s="41">
        <v>2024</v>
      </c>
      <c r="AC220" s="9"/>
      <c r="AD220" s="101"/>
      <c r="AE220" s="101"/>
    </row>
    <row r="221" spans="1:31" ht="31.5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61" t="s">
        <v>184</v>
      </c>
      <c r="S221" s="41" t="s">
        <v>50</v>
      </c>
      <c r="T221" s="44">
        <f>T230+T274+T315+T405</f>
        <v>30</v>
      </c>
      <c r="U221" s="44">
        <f>U230+U274+U315+U405</f>
        <v>22</v>
      </c>
      <c r="V221" s="44">
        <f>V230+V274+V315+V405</f>
        <v>7</v>
      </c>
      <c r="W221" s="44">
        <f t="shared" ref="W221:Y221" si="94">W230+W274+W315+W405</f>
        <v>0</v>
      </c>
      <c r="X221" s="44">
        <f t="shared" si="94"/>
        <v>0</v>
      </c>
      <c r="Y221" s="44">
        <f t="shared" si="94"/>
        <v>0</v>
      </c>
      <c r="Z221" s="44">
        <v>7</v>
      </c>
      <c r="AA221" s="49">
        <f>SUM(T221:Z221)</f>
        <v>66</v>
      </c>
      <c r="AB221" s="41">
        <v>2024</v>
      </c>
      <c r="AC221" s="9"/>
      <c r="AD221" s="101"/>
      <c r="AE221" s="101"/>
    </row>
    <row r="222" spans="1:31" x14ac:dyDescent="0.25">
      <c r="A222" s="54" t="s">
        <v>18</v>
      </c>
      <c r="B222" s="54" t="s">
        <v>18</v>
      </c>
      <c r="C222" s="54" t="s">
        <v>22</v>
      </c>
      <c r="D222" s="54" t="s">
        <v>18</v>
      </c>
      <c r="E222" s="54" t="s">
        <v>18</v>
      </c>
      <c r="F222" s="54" t="s">
        <v>18</v>
      </c>
      <c r="G222" s="54" t="s">
        <v>18</v>
      </c>
      <c r="H222" s="54" t="s">
        <v>19</v>
      </c>
      <c r="I222" s="54" t="s">
        <v>24</v>
      </c>
      <c r="J222" s="54" t="s">
        <v>18</v>
      </c>
      <c r="K222" s="54" t="s">
        <v>18</v>
      </c>
      <c r="L222" s="54" t="s">
        <v>20</v>
      </c>
      <c r="M222" s="54" t="s">
        <v>18</v>
      </c>
      <c r="N222" s="54" t="s">
        <v>18</v>
      </c>
      <c r="O222" s="54" t="s">
        <v>18</v>
      </c>
      <c r="P222" s="54" t="s">
        <v>18</v>
      </c>
      <c r="Q222" s="54" t="s">
        <v>18</v>
      </c>
      <c r="R222" s="150" t="s">
        <v>140</v>
      </c>
      <c r="S222" s="63" t="s">
        <v>0</v>
      </c>
      <c r="T222" s="59">
        <f t="shared" ref="T222:Z222" si="95">SUM(T223:T227)</f>
        <v>2922.6</v>
      </c>
      <c r="U222" s="59">
        <f t="shared" si="95"/>
        <v>6574.9</v>
      </c>
      <c r="V222" s="59">
        <f>SUM(V223:V227)</f>
        <v>3964.5</v>
      </c>
      <c r="W222" s="59">
        <f t="shared" si="95"/>
        <v>0</v>
      </c>
      <c r="X222" s="59">
        <f t="shared" si="95"/>
        <v>0</v>
      </c>
      <c r="Y222" s="59">
        <f t="shared" si="95"/>
        <v>0</v>
      </c>
      <c r="Z222" s="59">
        <f t="shared" si="95"/>
        <v>0</v>
      </c>
      <c r="AA222" s="59">
        <f>SUM(T222:Y222)</f>
        <v>13462</v>
      </c>
      <c r="AB222" s="58">
        <v>2020</v>
      </c>
      <c r="AC222" s="124"/>
      <c r="AD222" s="101"/>
      <c r="AE222" s="101"/>
    </row>
    <row r="223" spans="1:31" x14ac:dyDescent="0.25">
      <c r="A223" s="54" t="s">
        <v>18</v>
      </c>
      <c r="B223" s="54" t="s">
        <v>18</v>
      </c>
      <c r="C223" s="54" t="s">
        <v>22</v>
      </c>
      <c r="D223" s="54" t="s">
        <v>18</v>
      </c>
      <c r="E223" s="54" t="s">
        <v>18</v>
      </c>
      <c r="F223" s="54" t="s">
        <v>18</v>
      </c>
      <c r="G223" s="54" t="s">
        <v>18</v>
      </c>
      <c r="H223" s="54" t="s">
        <v>19</v>
      </c>
      <c r="I223" s="54" t="s">
        <v>24</v>
      </c>
      <c r="J223" s="54" t="s">
        <v>18</v>
      </c>
      <c r="K223" s="54" t="s">
        <v>18</v>
      </c>
      <c r="L223" s="54" t="s">
        <v>20</v>
      </c>
      <c r="M223" s="54" t="s">
        <v>19</v>
      </c>
      <c r="N223" s="54" t="s">
        <v>18</v>
      </c>
      <c r="O223" s="54" t="s">
        <v>24</v>
      </c>
      <c r="P223" s="54" t="s">
        <v>22</v>
      </c>
      <c r="Q223" s="54" t="s">
        <v>45</v>
      </c>
      <c r="R223" s="150"/>
      <c r="S223" s="63" t="s">
        <v>0</v>
      </c>
      <c r="T223" s="1">
        <f>T232+T237+T242+T248+T254+T261</f>
        <v>1229.5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59">
        <f t="shared" ref="AA223:AA230" si="96">SUM(T223:Y223)</f>
        <v>1229.5</v>
      </c>
      <c r="AB223" s="58">
        <v>2018</v>
      </c>
      <c r="AC223" s="124"/>
      <c r="AD223" s="101"/>
      <c r="AE223" s="101"/>
    </row>
    <row r="224" spans="1:31" x14ac:dyDescent="0.25">
      <c r="A224" s="54" t="s">
        <v>18</v>
      </c>
      <c r="B224" s="54" t="s">
        <v>18</v>
      </c>
      <c r="C224" s="54" t="s">
        <v>22</v>
      </c>
      <c r="D224" s="54" t="s">
        <v>18</v>
      </c>
      <c r="E224" s="54" t="s">
        <v>18</v>
      </c>
      <c r="F224" s="54" t="s">
        <v>18</v>
      </c>
      <c r="G224" s="54" t="s">
        <v>18</v>
      </c>
      <c r="H224" s="54" t="s">
        <v>19</v>
      </c>
      <c r="I224" s="54" t="s">
        <v>24</v>
      </c>
      <c r="J224" s="54" t="s">
        <v>18</v>
      </c>
      <c r="K224" s="54" t="s">
        <v>18</v>
      </c>
      <c r="L224" s="54" t="s">
        <v>20</v>
      </c>
      <c r="M224" s="54" t="s">
        <v>37</v>
      </c>
      <c r="N224" s="54" t="s">
        <v>18</v>
      </c>
      <c r="O224" s="54" t="s">
        <v>24</v>
      </c>
      <c r="P224" s="54" t="s">
        <v>22</v>
      </c>
      <c r="Q224" s="54" t="s">
        <v>39</v>
      </c>
      <c r="R224" s="150"/>
      <c r="S224" s="63" t="s">
        <v>0</v>
      </c>
      <c r="T224" s="1">
        <v>1046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59">
        <f t="shared" ref="AA224" si="97">SUM(T224:Y224)</f>
        <v>1046</v>
      </c>
      <c r="AB224" s="58">
        <v>2018</v>
      </c>
      <c r="AC224" s="124"/>
      <c r="AD224" s="101"/>
      <c r="AE224" s="101"/>
    </row>
    <row r="225" spans="1:31" x14ac:dyDescent="0.25">
      <c r="A225" s="54" t="s">
        <v>18</v>
      </c>
      <c r="B225" s="54" t="s">
        <v>18</v>
      </c>
      <c r="C225" s="54" t="s">
        <v>22</v>
      </c>
      <c r="D225" s="54" t="s">
        <v>18</v>
      </c>
      <c r="E225" s="54" t="s">
        <v>18</v>
      </c>
      <c r="F225" s="54" t="s">
        <v>18</v>
      </c>
      <c r="G225" s="54" t="s">
        <v>18</v>
      </c>
      <c r="H225" s="54" t="s">
        <v>19</v>
      </c>
      <c r="I225" s="54" t="s">
        <v>24</v>
      </c>
      <c r="J225" s="54" t="s">
        <v>18</v>
      </c>
      <c r="K225" s="54" t="s">
        <v>18</v>
      </c>
      <c r="L225" s="54" t="s">
        <v>20</v>
      </c>
      <c r="M225" s="54" t="s">
        <v>37</v>
      </c>
      <c r="N225" s="54" t="s">
        <v>18</v>
      </c>
      <c r="O225" s="54" t="s">
        <v>24</v>
      </c>
      <c r="P225" s="54" t="s">
        <v>22</v>
      </c>
      <c r="Q225" s="54" t="s">
        <v>46</v>
      </c>
      <c r="R225" s="150"/>
      <c r="S225" s="63" t="s">
        <v>0</v>
      </c>
      <c r="T225" s="1">
        <f>T233+T238+T243+T244+T249+T250+T255+T256+T262+T263</f>
        <v>647.1</v>
      </c>
      <c r="U225" s="1">
        <v>1329.9</v>
      </c>
      <c r="V225" s="1">
        <v>949.3</v>
      </c>
      <c r="W225" s="1">
        <v>0</v>
      </c>
      <c r="X225" s="1">
        <v>0</v>
      </c>
      <c r="Y225" s="1">
        <v>0</v>
      </c>
      <c r="Z225" s="1">
        <v>0</v>
      </c>
      <c r="AA225" s="59">
        <f t="shared" si="96"/>
        <v>2926.3</v>
      </c>
      <c r="AB225" s="58">
        <v>2020</v>
      </c>
      <c r="AC225" s="124"/>
      <c r="AD225" s="101"/>
      <c r="AE225" s="101"/>
    </row>
    <row r="226" spans="1:31" x14ac:dyDescent="0.25">
      <c r="A226" s="54" t="s">
        <v>18</v>
      </c>
      <c r="B226" s="54" t="s">
        <v>18</v>
      </c>
      <c r="C226" s="54" t="s">
        <v>22</v>
      </c>
      <c r="D226" s="54" t="s">
        <v>18</v>
      </c>
      <c r="E226" s="54" t="s">
        <v>18</v>
      </c>
      <c r="F226" s="54" t="s">
        <v>18</v>
      </c>
      <c r="G226" s="54" t="s">
        <v>18</v>
      </c>
      <c r="H226" s="54" t="s">
        <v>19</v>
      </c>
      <c r="I226" s="54" t="s">
        <v>24</v>
      </c>
      <c r="J226" s="54" t="s">
        <v>18</v>
      </c>
      <c r="K226" s="54" t="s">
        <v>18</v>
      </c>
      <c r="L226" s="54" t="s">
        <v>20</v>
      </c>
      <c r="M226" s="54" t="s">
        <v>19</v>
      </c>
      <c r="N226" s="54" t="s">
        <v>18</v>
      </c>
      <c r="O226" s="54" t="s">
        <v>24</v>
      </c>
      <c r="P226" s="54" t="s">
        <v>22</v>
      </c>
      <c r="Q226" s="54" t="s">
        <v>18</v>
      </c>
      <c r="R226" s="150"/>
      <c r="S226" s="63" t="s">
        <v>0</v>
      </c>
      <c r="T226" s="1">
        <v>0</v>
      </c>
      <c r="U226" s="1">
        <f>2901-2.9</f>
        <v>2898.1</v>
      </c>
      <c r="V226" s="1">
        <f>1721.3-1721.3</f>
        <v>0</v>
      </c>
      <c r="W226" s="1">
        <v>0</v>
      </c>
      <c r="X226" s="1">
        <v>0</v>
      </c>
      <c r="Y226" s="1">
        <v>0</v>
      </c>
      <c r="Z226" s="1">
        <v>0</v>
      </c>
      <c r="AA226" s="59">
        <f t="shared" si="96"/>
        <v>2898.1</v>
      </c>
      <c r="AB226" s="58">
        <v>2020</v>
      </c>
      <c r="AC226" s="124"/>
      <c r="AD226" s="101"/>
      <c r="AE226" s="101"/>
    </row>
    <row r="227" spans="1:31" x14ac:dyDescent="0.25">
      <c r="A227" s="54" t="s">
        <v>18</v>
      </c>
      <c r="B227" s="54" t="s">
        <v>18</v>
      </c>
      <c r="C227" s="54" t="s">
        <v>22</v>
      </c>
      <c r="D227" s="54" t="s">
        <v>18</v>
      </c>
      <c r="E227" s="54" t="s">
        <v>18</v>
      </c>
      <c r="F227" s="54" t="s">
        <v>18</v>
      </c>
      <c r="G227" s="54" t="s">
        <v>18</v>
      </c>
      <c r="H227" s="54" t="s">
        <v>19</v>
      </c>
      <c r="I227" s="54" t="s">
        <v>24</v>
      </c>
      <c r="J227" s="54" t="s">
        <v>18</v>
      </c>
      <c r="K227" s="54" t="s">
        <v>18</v>
      </c>
      <c r="L227" s="54" t="s">
        <v>20</v>
      </c>
      <c r="M227" s="54" t="s">
        <v>37</v>
      </c>
      <c r="N227" s="54" t="s">
        <v>18</v>
      </c>
      <c r="O227" s="54" t="s">
        <v>24</v>
      </c>
      <c r="P227" s="54" t="s">
        <v>22</v>
      </c>
      <c r="Q227" s="54" t="s">
        <v>18</v>
      </c>
      <c r="R227" s="150"/>
      <c r="S227" s="63" t="s">
        <v>0</v>
      </c>
      <c r="T227" s="1">
        <v>0</v>
      </c>
      <c r="U227" s="1">
        <f>2375.1-28.2</f>
        <v>2346.9</v>
      </c>
      <c r="V227" s="1">
        <f>1518.9+1643.8-147.5</f>
        <v>3015.2</v>
      </c>
      <c r="W227" s="1">
        <v>0</v>
      </c>
      <c r="X227" s="1">
        <v>0</v>
      </c>
      <c r="Y227" s="1">
        <v>0</v>
      </c>
      <c r="Z227" s="1">
        <v>0</v>
      </c>
      <c r="AA227" s="59">
        <f t="shared" si="96"/>
        <v>5362.1</v>
      </c>
      <c r="AB227" s="58">
        <v>2020</v>
      </c>
      <c r="AC227" s="124"/>
      <c r="AD227" s="101"/>
      <c r="AE227" s="101"/>
    </row>
    <row r="228" spans="1:31" ht="47.25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78" t="s">
        <v>264</v>
      </c>
      <c r="S228" s="62" t="s">
        <v>52</v>
      </c>
      <c r="T228" s="3">
        <v>8.8000000000000007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6">
        <f t="shared" si="96"/>
        <v>8.8000000000000007</v>
      </c>
      <c r="AB228" s="41">
        <v>2018</v>
      </c>
      <c r="AC228" s="128"/>
      <c r="AD228" s="101"/>
      <c r="AE228" s="101"/>
    </row>
    <row r="229" spans="1:31" ht="47.25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80" t="s">
        <v>308</v>
      </c>
      <c r="S229" s="62" t="s">
        <v>52</v>
      </c>
      <c r="T229" s="3">
        <v>0</v>
      </c>
      <c r="U229" s="3">
        <v>1</v>
      </c>
      <c r="V229" s="3">
        <v>1.1000000000000001</v>
      </c>
      <c r="W229" s="3">
        <v>0</v>
      </c>
      <c r="X229" s="3">
        <v>0</v>
      </c>
      <c r="Y229" s="3">
        <v>0</v>
      </c>
      <c r="Z229" s="3">
        <v>0</v>
      </c>
      <c r="AA229" s="6">
        <f t="shared" si="96"/>
        <v>2.1</v>
      </c>
      <c r="AB229" s="41">
        <v>2020</v>
      </c>
      <c r="AC229" s="128"/>
      <c r="AD229" s="101"/>
      <c r="AE229" s="101"/>
    </row>
    <row r="230" spans="1:31" ht="47.25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78" t="s">
        <v>309</v>
      </c>
      <c r="S230" s="84" t="s">
        <v>50</v>
      </c>
      <c r="T230" s="44">
        <v>3</v>
      </c>
      <c r="U230" s="44">
        <v>6</v>
      </c>
      <c r="V230" s="44">
        <v>4</v>
      </c>
      <c r="W230" s="44">
        <v>0</v>
      </c>
      <c r="X230" s="44">
        <v>0</v>
      </c>
      <c r="Y230" s="44">
        <v>0</v>
      </c>
      <c r="Z230" s="44">
        <v>0</v>
      </c>
      <c r="AA230" s="49">
        <f t="shared" si="96"/>
        <v>13</v>
      </c>
      <c r="AB230" s="41">
        <v>2020</v>
      </c>
      <c r="AC230" s="128"/>
      <c r="AD230" s="101"/>
      <c r="AE230" s="101"/>
    </row>
    <row r="231" spans="1:31" ht="15.6" hidden="1" customHeight="1" x14ac:dyDescent="0.25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150" t="s">
        <v>188</v>
      </c>
      <c r="S231" s="63" t="s">
        <v>0</v>
      </c>
      <c r="T231" s="1">
        <f>SUM(T232:T234)</f>
        <v>998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59">
        <f t="shared" ref="AA231:AA328" si="98">SUM(T231:Y231)</f>
        <v>998</v>
      </c>
      <c r="AB231" s="58">
        <v>2018</v>
      </c>
      <c r="AC231" s="87"/>
      <c r="AD231" s="101">
        <f>T232+T237+T242+T248+T254+T261+T276+T282+T287+T292+T297+T302+T317+T323+T330+T337+T344+T351+T358+T365+T372+T379+T385+T391+T407+T413+T419+T425+T431+T437+T442+T448+T454+T460+T466</f>
        <v>9265.1149999999998</v>
      </c>
      <c r="AE231" s="101"/>
    </row>
    <row r="232" spans="1:31" ht="15.6" hidden="1" customHeight="1" x14ac:dyDescent="0.25">
      <c r="A232" s="54" t="s">
        <v>18</v>
      </c>
      <c r="B232" s="54" t="s">
        <v>18</v>
      </c>
      <c r="C232" s="54" t="s">
        <v>22</v>
      </c>
      <c r="D232" s="54" t="s">
        <v>18</v>
      </c>
      <c r="E232" s="54" t="s">
        <v>21</v>
      </c>
      <c r="F232" s="54" t="s">
        <v>18</v>
      </c>
      <c r="G232" s="54" t="s">
        <v>22</v>
      </c>
      <c r="H232" s="54" t="s">
        <v>19</v>
      </c>
      <c r="I232" s="54" t="s">
        <v>24</v>
      </c>
      <c r="J232" s="54" t="s">
        <v>18</v>
      </c>
      <c r="K232" s="54" t="s">
        <v>18</v>
      </c>
      <c r="L232" s="54" t="s">
        <v>20</v>
      </c>
      <c r="M232" s="54" t="s">
        <v>19</v>
      </c>
      <c r="N232" s="54" t="s">
        <v>18</v>
      </c>
      <c r="O232" s="54" t="s">
        <v>24</v>
      </c>
      <c r="P232" s="54" t="s">
        <v>22</v>
      </c>
      <c r="Q232" s="54" t="s">
        <v>45</v>
      </c>
      <c r="R232" s="150"/>
      <c r="S232" s="63" t="s">
        <v>0</v>
      </c>
      <c r="T232" s="1">
        <v>399.2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59">
        <f t="shared" si="98"/>
        <v>399.2</v>
      </c>
      <c r="AB232" s="58">
        <v>2018</v>
      </c>
      <c r="AC232" s="9"/>
      <c r="AD232" s="101">
        <f>T233+T238+T243+T244+T249+T250+T255+T256+T262+T263+T278+T283+T288+T293+T298+T303+T319+T318+T326+T325+T333+T332+T340+T339+T347+T346+T354+T353+T361+T360+T367+T368+T374+T381+T387+T393+T394+T408+T409+T414+T415+T420+T421+T426+T427+T432+T433+T438+T443+T444+T449+T450+T455+T456+T461+T462+T467+T468+T375</f>
        <v>4643.8</v>
      </c>
      <c r="AE232" s="101"/>
    </row>
    <row r="233" spans="1:31" ht="15.6" hidden="1" customHeight="1" x14ac:dyDescent="0.25">
      <c r="A233" s="54" t="s">
        <v>18</v>
      </c>
      <c r="B233" s="54" t="s">
        <v>18</v>
      </c>
      <c r="C233" s="54" t="s">
        <v>22</v>
      </c>
      <c r="D233" s="54" t="s">
        <v>18</v>
      </c>
      <c r="E233" s="54" t="s">
        <v>21</v>
      </c>
      <c r="F233" s="54" t="s">
        <v>18</v>
      </c>
      <c r="G233" s="54" t="s">
        <v>22</v>
      </c>
      <c r="H233" s="54" t="s">
        <v>19</v>
      </c>
      <c r="I233" s="54" t="s">
        <v>24</v>
      </c>
      <c r="J233" s="54" t="s">
        <v>18</v>
      </c>
      <c r="K233" s="54" t="s">
        <v>18</v>
      </c>
      <c r="L233" s="54" t="s">
        <v>20</v>
      </c>
      <c r="M233" s="54" t="s">
        <v>37</v>
      </c>
      <c r="N233" s="54" t="s">
        <v>18</v>
      </c>
      <c r="O233" s="54" t="s">
        <v>24</v>
      </c>
      <c r="P233" s="54" t="s">
        <v>22</v>
      </c>
      <c r="Q233" s="54" t="s">
        <v>46</v>
      </c>
      <c r="R233" s="150"/>
      <c r="S233" s="63" t="s">
        <v>0</v>
      </c>
      <c r="T233" s="1">
        <v>199.6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59">
        <f t="shared" si="98"/>
        <v>199.6</v>
      </c>
      <c r="AB233" s="58">
        <v>2018</v>
      </c>
      <c r="AC233" s="9"/>
      <c r="AD233" s="101">
        <f>T234+T239+T245+T251+T257+T264+T279+T284+T289+T294+T299+T304+T320+T327+T334+T341+T348+T355+T362+T369+T376+T382+T388+T395+T410+T416+T422+T428+T434+T439+T445+T451+T457+T463+T469</f>
        <v>9745.0000000000018</v>
      </c>
      <c r="AE233" s="101"/>
    </row>
    <row r="234" spans="1:31" ht="15.6" hidden="1" customHeight="1" x14ac:dyDescent="0.25">
      <c r="A234" s="54" t="s">
        <v>18</v>
      </c>
      <c r="B234" s="54" t="s">
        <v>18</v>
      </c>
      <c r="C234" s="54" t="s">
        <v>22</v>
      </c>
      <c r="D234" s="54" t="s">
        <v>18</v>
      </c>
      <c r="E234" s="54" t="s">
        <v>21</v>
      </c>
      <c r="F234" s="54" t="s">
        <v>18</v>
      </c>
      <c r="G234" s="54" t="s">
        <v>22</v>
      </c>
      <c r="H234" s="54" t="s">
        <v>19</v>
      </c>
      <c r="I234" s="54" t="s">
        <v>24</v>
      </c>
      <c r="J234" s="54" t="s">
        <v>18</v>
      </c>
      <c r="K234" s="54" t="s">
        <v>18</v>
      </c>
      <c r="L234" s="54" t="s">
        <v>20</v>
      </c>
      <c r="M234" s="54" t="s">
        <v>37</v>
      </c>
      <c r="N234" s="54" t="s">
        <v>18</v>
      </c>
      <c r="O234" s="54" t="s">
        <v>24</v>
      </c>
      <c r="P234" s="54" t="s">
        <v>22</v>
      </c>
      <c r="Q234" s="54" t="s">
        <v>39</v>
      </c>
      <c r="R234" s="150"/>
      <c r="S234" s="63" t="s">
        <v>0</v>
      </c>
      <c r="T234" s="1">
        <v>399.2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59">
        <f t="shared" si="98"/>
        <v>399.2</v>
      </c>
      <c r="AB234" s="58">
        <v>2018</v>
      </c>
      <c r="AC234" s="9"/>
      <c r="AD234" s="101">
        <f>T277+T324+T331+T338+T345+T352+T359+T366+T373+T380+T386+T392</f>
        <v>380</v>
      </c>
      <c r="AE234" s="101"/>
    </row>
    <row r="235" spans="1:31" ht="31.15" hidden="1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80" t="s">
        <v>189</v>
      </c>
      <c r="S235" s="84" t="s">
        <v>175</v>
      </c>
      <c r="T235" s="3">
        <v>8750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6">
        <f t="shared" si="98"/>
        <v>8750</v>
      </c>
      <c r="AB235" s="41">
        <v>2018</v>
      </c>
      <c r="AC235" s="9"/>
      <c r="AD235" s="101">
        <f>SUM(AD231:AD234)</f>
        <v>24033.915000000001</v>
      </c>
      <c r="AE235" s="101"/>
    </row>
    <row r="236" spans="1:31" ht="15.6" hidden="1" customHeight="1" x14ac:dyDescent="0.25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150" t="s">
        <v>190</v>
      </c>
      <c r="S236" s="63" t="s">
        <v>0</v>
      </c>
      <c r="T236" s="1">
        <f>SUM(T237:T239)</f>
        <v>150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59">
        <f t="shared" si="98"/>
        <v>150</v>
      </c>
      <c r="AB236" s="58">
        <v>2018</v>
      </c>
      <c r="AC236" s="9"/>
      <c r="AD236" s="101"/>
      <c r="AE236" s="101"/>
    </row>
    <row r="237" spans="1:31" ht="15.6" hidden="1" customHeight="1" x14ac:dyDescent="0.25">
      <c r="A237" s="54" t="s">
        <v>18</v>
      </c>
      <c r="B237" s="54" t="s">
        <v>18</v>
      </c>
      <c r="C237" s="54" t="s">
        <v>22</v>
      </c>
      <c r="D237" s="54" t="s">
        <v>18</v>
      </c>
      <c r="E237" s="54" t="s">
        <v>21</v>
      </c>
      <c r="F237" s="54" t="s">
        <v>18</v>
      </c>
      <c r="G237" s="54" t="s">
        <v>22</v>
      </c>
      <c r="H237" s="54" t="s">
        <v>19</v>
      </c>
      <c r="I237" s="54" t="s">
        <v>24</v>
      </c>
      <c r="J237" s="54" t="s">
        <v>18</v>
      </c>
      <c r="K237" s="54" t="s">
        <v>18</v>
      </c>
      <c r="L237" s="54" t="s">
        <v>20</v>
      </c>
      <c r="M237" s="54" t="s">
        <v>19</v>
      </c>
      <c r="N237" s="54" t="s">
        <v>18</v>
      </c>
      <c r="O237" s="54" t="s">
        <v>24</v>
      </c>
      <c r="P237" s="54" t="s">
        <v>22</v>
      </c>
      <c r="Q237" s="54" t="s">
        <v>45</v>
      </c>
      <c r="R237" s="150"/>
      <c r="S237" s="63" t="s">
        <v>0</v>
      </c>
      <c r="T237" s="1">
        <v>60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59">
        <f t="shared" si="98"/>
        <v>60</v>
      </c>
      <c r="AB237" s="58">
        <v>2018</v>
      </c>
      <c r="AC237" s="9"/>
      <c r="AD237" s="101"/>
      <c r="AE237" s="101"/>
    </row>
    <row r="238" spans="1:31" ht="15.6" hidden="1" customHeight="1" x14ac:dyDescent="0.25">
      <c r="A238" s="54" t="s">
        <v>18</v>
      </c>
      <c r="B238" s="54" t="s">
        <v>18</v>
      </c>
      <c r="C238" s="54" t="s">
        <v>22</v>
      </c>
      <c r="D238" s="54" t="s">
        <v>18</v>
      </c>
      <c r="E238" s="54" t="s">
        <v>21</v>
      </c>
      <c r="F238" s="54" t="s">
        <v>18</v>
      </c>
      <c r="G238" s="54" t="s">
        <v>22</v>
      </c>
      <c r="H238" s="54" t="s">
        <v>19</v>
      </c>
      <c r="I238" s="54" t="s">
        <v>24</v>
      </c>
      <c r="J238" s="54" t="s">
        <v>18</v>
      </c>
      <c r="K238" s="54" t="s">
        <v>18</v>
      </c>
      <c r="L238" s="54" t="s">
        <v>20</v>
      </c>
      <c r="M238" s="54" t="s">
        <v>37</v>
      </c>
      <c r="N238" s="54" t="s">
        <v>18</v>
      </c>
      <c r="O238" s="54" t="s">
        <v>24</v>
      </c>
      <c r="P238" s="54" t="s">
        <v>22</v>
      </c>
      <c r="Q238" s="54" t="s">
        <v>46</v>
      </c>
      <c r="R238" s="150"/>
      <c r="S238" s="63" t="s">
        <v>0</v>
      </c>
      <c r="T238" s="1">
        <v>30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59">
        <f t="shared" si="98"/>
        <v>30</v>
      </c>
      <c r="AB238" s="58">
        <v>2018</v>
      </c>
      <c r="AC238" s="9"/>
      <c r="AD238" s="101"/>
      <c r="AE238" s="101"/>
    </row>
    <row r="239" spans="1:31" ht="15.6" hidden="1" customHeight="1" x14ac:dyDescent="0.25">
      <c r="A239" s="54" t="s">
        <v>18</v>
      </c>
      <c r="B239" s="54" t="s">
        <v>18</v>
      </c>
      <c r="C239" s="54" t="s">
        <v>22</v>
      </c>
      <c r="D239" s="54" t="s">
        <v>18</v>
      </c>
      <c r="E239" s="54" t="s">
        <v>21</v>
      </c>
      <c r="F239" s="54" t="s">
        <v>18</v>
      </c>
      <c r="G239" s="54" t="s">
        <v>22</v>
      </c>
      <c r="H239" s="54" t="s">
        <v>19</v>
      </c>
      <c r="I239" s="54" t="s">
        <v>24</v>
      </c>
      <c r="J239" s="54" t="s">
        <v>18</v>
      </c>
      <c r="K239" s="54" t="s">
        <v>18</v>
      </c>
      <c r="L239" s="54" t="s">
        <v>20</v>
      </c>
      <c r="M239" s="54" t="s">
        <v>37</v>
      </c>
      <c r="N239" s="54" t="s">
        <v>18</v>
      </c>
      <c r="O239" s="54" t="s">
        <v>24</v>
      </c>
      <c r="P239" s="54" t="s">
        <v>22</v>
      </c>
      <c r="Q239" s="54" t="s">
        <v>39</v>
      </c>
      <c r="R239" s="150"/>
      <c r="S239" s="63" t="s">
        <v>0</v>
      </c>
      <c r="T239" s="1">
        <v>60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59">
        <f t="shared" si="98"/>
        <v>60</v>
      </c>
      <c r="AB239" s="58">
        <v>2018</v>
      </c>
      <c r="AC239" s="9"/>
      <c r="AD239" s="101"/>
      <c r="AE239" s="101"/>
    </row>
    <row r="240" spans="1:31" ht="46.9" hidden="1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80" t="s">
        <v>191</v>
      </c>
      <c r="S240" s="84" t="s">
        <v>50</v>
      </c>
      <c r="T240" s="44">
        <v>7</v>
      </c>
      <c r="U240" s="44">
        <v>0</v>
      </c>
      <c r="V240" s="44">
        <v>0</v>
      </c>
      <c r="W240" s="44">
        <v>0</v>
      </c>
      <c r="X240" s="44">
        <v>0</v>
      </c>
      <c r="Y240" s="44">
        <v>0</v>
      </c>
      <c r="Z240" s="44">
        <v>0</v>
      </c>
      <c r="AA240" s="49">
        <f t="shared" si="98"/>
        <v>7</v>
      </c>
      <c r="AB240" s="41">
        <v>2018</v>
      </c>
      <c r="AC240" s="9"/>
      <c r="AD240" s="101"/>
      <c r="AE240" s="101"/>
    </row>
    <row r="241" spans="1:31" ht="15.6" hidden="1" customHeight="1" x14ac:dyDescent="0.25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150" t="s">
        <v>192</v>
      </c>
      <c r="S241" s="63" t="s">
        <v>0</v>
      </c>
      <c r="T241" s="1">
        <f>SUM(T242:T245)</f>
        <v>1031.5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59">
        <f t="shared" si="98"/>
        <v>1031.5</v>
      </c>
      <c r="AB241" s="58">
        <v>2018</v>
      </c>
      <c r="AC241" s="9"/>
      <c r="AD241" s="101"/>
      <c r="AE241" s="101"/>
    </row>
    <row r="242" spans="1:31" ht="15.6" hidden="1" customHeight="1" x14ac:dyDescent="0.25">
      <c r="A242" s="54" t="s">
        <v>18</v>
      </c>
      <c r="B242" s="54" t="s">
        <v>18</v>
      </c>
      <c r="C242" s="54" t="s">
        <v>22</v>
      </c>
      <c r="D242" s="54" t="s">
        <v>18</v>
      </c>
      <c r="E242" s="54" t="s">
        <v>21</v>
      </c>
      <c r="F242" s="54" t="s">
        <v>18</v>
      </c>
      <c r="G242" s="54" t="s">
        <v>22</v>
      </c>
      <c r="H242" s="54" t="s">
        <v>19</v>
      </c>
      <c r="I242" s="54" t="s">
        <v>24</v>
      </c>
      <c r="J242" s="54" t="s">
        <v>18</v>
      </c>
      <c r="K242" s="54" t="s">
        <v>18</v>
      </c>
      <c r="L242" s="54" t="s">
        <v>20</v>
      </c>
      <c r="M242" s="54" t="s">
        <v>19</v>
      </c>
      <c r="N242" s="54" t="s">
        <v>18</v>
      </c>
      <c r="O242" s="54" t="s">
        <v>24</v>
      </c>
      <c r="P242" s="54" t="s">
        <v>22</v>
      </c>
      <c r="Q242" s="54" t="s">
        <v>45</v>
      </c>
      <c r="R242" s="150"/>
      <c r="S242" s="63" t="s">
        <v>0</v>
      </c>
      <c r="T242" s="1">
        <v>400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59">
        <f t="shared" si="98"/>
        <v>400</v>
      </c>
      <c r="AB242" s="58">
        <v>2018</v>
      </c>
      <c r="AC242" s="9"/>
      <c r="AD242" s="101"/>
      <c r="AE242" s="101"/>
    </row>
    <row r="243" spans="1:31" ht="15.6" hidden="1" customHeight="1" x14ac:dyDescent="0.25">
      <c r="A243" s="54" t="s">
        <v>18</v>
      </c>
      <c r="B243" s="54" t="s">
        <v>18</v>
      </c>
      <c r="C243" s="54" t="s">
        <v>22</v>
      </c>
      <c r="D243" s="54" t="s">
        <v>18</v>
      </c>
      <c r="E243" s="54" t="s">
        <v>21</v>
      </c>
      <c r="F243" s="54" t="s">
        <v>18</v>
      </c>
      <c r="G243" s="54" t="s">
        <v>22</v>
      </c>
      <c r="H243" s="54" t="s">
        <v>19</v>
      </c>
      <c r="I243" s="54" t="s">
        <v>24</v>
      </c>
      <c r="J243" s="54" t="s">
        <v>18</v>
      </c>
      <c r="K243" s="54" t="s">
        <v>18</v>
      </c>
      <c r="L243" s="54" t="s">
        <v>20</v>
      </c>
      <c r="M243" s="54" t="s">
        <v>37</v>
      </c>
      <c r="N243" s="54" t="s">
        <v>18</v>
      </c>
      <c r="O243" s="54" t="s">
        <v>24</v>
      </c>
      <c r="P243" s="54" t="s">
        <v>22</v>
      </c>
      <c r="Q243" s="54" t="s">
        <v>46</v>
      </c>
      <c r="R243" s="150"/>
      <c r="S243" s="63" t="s">
        <v>0</v>
      </c>
      <c r="T243" s="1">
        <v>2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59">
        <f t="shared" si="98"/>
        <v>2</v>
      </c>
      <c r="AB243" s="58">
        <v>2018</v>
      </c>
      <c r="AC243" s="9"/>
      <c r="AD243" s="101"/>
      <c r="AE243" s="101"/>
    </row>
    <row r="244" spans="1:31" ht="15.6" hidden="1" customHeight="1" x14ac:dyDescent="0.25">
      <c r="A244" s="54" t="s">
        <v>18</v>
      </c>
      <c r="B244" s="54" t="s">
        <v>18</v>
      </c>
      <c r="C244" s="54" t="s">
        <v>22</v>
      </c>
      <c r="D244" s="54" t="s">
        <v>18</v>
      </c>
      <c r="E244" s="54" t="s">
        <v>21</v>
      </c>
      <c r="F244" s="54" t="s">
        <v>18</v>
      </c>
      <c r="G244" s="54" t="s">
        <v>22</v>
      </c>
      <c r="H244" s="54" t="s">
        <v>19</v>
      </c>
      <c r="I244" s="54" t="s">
        <v>24</v>
      </c>
      <c r="J244" s="54" t="s">
        <v>18</v>
      </c>
      <c r="K244" s="54" t="s">
        <v>18</v>
      </c>
      <c r="L244" s="54" t="s">
        <v>20</v>
      </c>
      <c r="M244" s="54" t="s">
        <v>37</v>
      </c>
      <c r="N244" s="54" t="s">
        <v>18</v>
      </c>
      <c r="O244" s="54" t="s">
        <v>24</v>
      </c>
      <c r="P244" s="54" t="s">
        <v>22</v>
      </c>
      <c r="Q244" s="54" t="s">
        <v>46</v>
      </c>
      <c r="R244" s="150"/>
      <c r="S244" s="63" t="s">
        <v>0</v>
      </c>
      <c r="T244" s="1">
        <v>229.5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59">
        <f t="shared" si="98"/>
        <v>229.5</v>
      </c>
      <c r="AB244" s="58">
        <v>2018</v>
      </c>
      <c r="AC244" s="9"/>
      <c r="AD244" s="101"/>
      <c r="AE244" s="101"/>
    </row>
    <row r="245" spans="1:31" ht="15.6" hidden="1" customHeight="1" x14ac:dyDescent="0.25">
      <c r="A245" s="54" t="s">
        <v>18</v>
      </c>
      <c r="B245" s="54" t="s">
        <v>18</v>
      </c>
      <c r="C245" s="54" t="s">
        <v>22</v>
      </c>
      <c r="D245" s="54" t="s">
        <v>18</v>
      </c>
      <c r="E245" s="54" t="s">
        <v>21</v>
      </c>
      <c r="F245" s="54" t="s">
        <v>18</v>
      </c>
      <c r="G245" s="54" t="s">
        <v>22</v>
      </c>
      <c r="H245" s="54" t="s">
        <v>19</v>
      </c>
      <c r="I245" s="54" t="s">
        <v>24</v>
      </c>
      <c r="J245" s="54" t="s">
        <v>18</v>
      </c>
      <c r="K245" s="54" t="s">
        <v>18</v>
      </c>
      <c r="L245" s="54" t="s">
        <v>20</v>
      </c>
      <c r="M245" s="54" t="s">
        <v>37</v>
      </c>
      <c r="N245" s="54" t="s">
        <v>18</v>
      </c>
      <c r="O245" s="54" t="s">
        <v>24</v>
      </c>
      <c r="P245" s="54" t="s">
        <v>22</v>
      </c>
      <c r="Q245" s="54" t="s">
        <v>39</v>
      </c>
      <c r="R245" s="150"/>
      <c r="S245" s="63" t="s">
        <v>0</v>
      </c>
      <c r="T245" s="1">
        <v>400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59">
        <f t="shared" si="98"/>
        <v>400</v>
      </c>
      <c r="AB245" s="58">
        <v>2018</v>
      </c>
      <c r="AC245" s="9"/>
      <c r="AD245" s="101"/>
      <c r="AE245" s="101"/>
    </row>
    <row r="246" spans="1:31" ht="45.6" hidden="1" customHeight="1" x14ac:dyDescent="0.25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80" t="s">
        <v>193</v>
      </c>
      <c r="S246" s="84" t="s">
        <v>50</v>
      </c>
      <c r="T246" s="44">
        <v>44</v>
      </c>
      <c r="U246" s="44">
        <v>0</v>
      </c>
      <c r="V246" s="44">
        <v>0</v>
      </c>
      <c r="W246" s="44">
        <v>0</v>
      </c>
      <c r="X246" s="44">
        <v>0</v>
      </c>
      <c r="Y246" s="44">
        <v>0</v>
      </c>
      <c r="Z246" s="44">
        <v>0</v>
      </c>
      <c r="AA246" s="49">
        <f t="shared" si="98"/>
        <v>44</v>
      </c>
      <c r="AB246" s="41">
        <v>2018</v>
      </c>
      <c r="AC246" s="9"/>
      <c r="AD246" s="101"/>
      <c r="AE246" s="101"/>
    </row>
    <row r="247" spans="1:31" ht="15.6" hidden="1" customHeight="1" x14ac:dyDescent="0.25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150" t="s">
        <v>194</v>
      </c>
      <c r="S247" s="63" t="s">
        <v>0</v>
      </c>
      <c r="T247" s="1">
        <f>SUM(T248:T251)</f>
        <v>613.5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59">
        <f t="shared" si="98"/>
        <v>613.5</v>
      </c>
      <c r="AB247" s="58">
        <v>2018</v>
      </c>
      <c r="AC247" s="9"/>
      <c r="AD247" s="101"/>
      <c r="AE247" s="101"/>
    </row>
    <row r="248" spans="1:31" ht="15.6" hidden="1" customHeight="1" x14ac:dyDescent="0.25">
      <c r="A248" s="54" t="s">
        <v>18</v>
      </c>
      <c r="B248" s="54" t="s">
        <v>18</v>
      </c>
      <c r="C248" s="54" t="s">
        <v>22</v>
      </c>
      <c r="D248" s="54" t="s">
        <v>18</v>
      </c>
      <c r="E248" s="54" t="s">
        <v>21</v>
      </c>
      <c r="F248" s="54" t="s">
        <v>18</v>
      </c>
      <c r="G248" s="54" t="s">
        <v>22</v>
      </c>
      <c r="H248" s="54" t="s">
        <v>19</v>
      </c>
      <c r="I248" s="54" t="s">
        <v>24</v>
      </c>
      <c r="J248" s="54" t="s">
        <v>18</v>
      </c>
      <c r="K248" s="54" t="s">
        <v>18</v>
      </c>
      <c r="L248" s="54" t="s">
        <v>20</v>
      </c>
      <c r="M248" s="54" t="s">
        <v>19</v>
      </c>
      <c r="N248" s="54" t="s">
        <v>18</v>
      </c>
      <c r="O248" s="54" t="s">
        <v>24</v>
      </c>
      <c r="P248" s="54" t="s">
        <v>22</v>
      </c>
      <c r="Q248" s="54" t="s">
        <v>45</v>
      </c>
      <c r="R248" s="150"/>
      <c r="S248" s="63" t="s">
        <v>0</v>
      </c>
      <c r="T248" s="1">
        <v>245.4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59">
        <f t="shared" si="98"/>
        <v>245.4</v>
      </c>
      <c r="AB248" s="58">
        <v>2018</v>
      </c>
      <c r="AC248" s="9"/>
      <c r="AD248" s="101"/>
      <c r="AE248" s="101"/>
    </row>
    <row r="249" spans="1:31" ht="15.6" hidden="1" customHeight="1" x14ac:dyDescent="0.25">
      <c r="A249" s="54" t="s">
        <v>18</v>
      </c>
      <c r="B249" s="54" t="s">
        <v>18</v>
      </c>
      <c r="C249" s="54" t="s">
        <v>22</v>
      </c>
      <c r="D249" s="54" t="s">
        <v>18</v>
      </c>
      <c r="E249" s="54" t="s">
        <v>21</v>
      </c>
      <c r="F249" s="54" t="s">
        <v>18</v>
      </c>
      <c r="G249" s="54" t="s">
        <v>22</v>
      </c>
      <c r="H249" s="54" t="s">
        <v>19</v>
      </c>
      <c r="I249" s="54" t="s">
        <v>24</v>
      </c>
      <c r="J249" s="54" t="s">
        <v>18</v>
      </c>
      <c r="K249" s="54" t="s">
        <v>18</v>
      </c>
      <c r="L249" s="54" t="s">
        <v>20</v>
      </c>
      <c r="M249" s="54" t="s">
        <v>37</v>
      </c>
      <c r="N249" s="54" t="s">
        <v>18</v>
      </c>
      <c r="O249" s="54" t="s">
        <v>24</v>
      </c>
      <c r="P249" s="54" t="s">
        <v>22</v>
      </c>
      <c r="Q249" s="54" t="s">
        <v>46</v>
      </c>
      <c r="R249" s="150"/>
      <c r="S249" s="63" t="s">
        <v>0</v>
      </c>
      <c r="T249" s="1">
        <v>60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59">
        <f t="shared" si="98"/>
        <v>60</v>
      </c>
      <c r="AB249" s="58">
        <v>2018</v>
      </c>
      <c r="AC249" s="9"/>
      <c r="AD249" s="101"/>
      <c r="AE249" s="101"/>
    </row>
    <row r="250" spans="1:31" ht="15.6" hidden="1" customHeight="1" x14ac:dyDescent="0.25">
      <c r="A250" s="54" t="s">
        <v>18</v>
      </c>
      <c r="B250" s="54" t="s">
        <v>18</v>
      </c>
      <c r="C250" s="54" t="s">
        <v>22</v>
      </c>
      <c r="D250" s="54" t="s">
        <v>18</v>
      </c>
      <c r="E250" s="54" t="s">
        <v>21</v>
      </c>
      <c r="F250" s="54" t="s">
        <v>18</v>
      </c>
      <c r="G250" s="54" t="s">
        <v>22</v>
      </c>
      <c r="H250" s="54" t="s">
        <v>19</v>
      </c>
      <c r="I250" s="54" t="s">
        <v>24</v>
      </c>
      <c r="J250" s="54" t="s">
        <v>18</v>
      </c>
      <c r="K250" s="54" t="s">
        <v>18</v>
      </c>
      <c r="L250" s="54" t="s">
        <v>20</v>
      </c>
      <c r="M250" s="54" t="s">
        <v>37</v>
      </c>
      <c r="N250" s="54" t="s">
        <v>18</v>
      </c>
      <c r="O250" s="54" t="s">
        <v>24</v>
      </c>
      <c r="P250" s="54" t="s">
        <v>22</v>
      </c>
      <c r="Q250" s="54" t="s">
        <v>46</v>
      </c>
      <c r="R250" s="150"/>
      <c r="S250" s="63" t="s">
        <v>0</v>
      </c>
      <c r="T250" s="1">
        <v>62.7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59">
        <f t="shared" si="98"/>
        <v>62.7</v>
      </c>
      <c r="AB250" s="58">
        <v>2018</v>
      </c>
      <c r="AC250" s="9"/>
      <c r="AD250" s="101"/>
      <c r="AE250" s="101"/>
    </row>
    <row r="251" spans="1:31" ht="15.6" hidden="1" customHeight="1" x14ac:dyDescent="0.25">
      <c r="A251" s="54" t="s">
        <v>18</v>
      </c>
      <c r="B251" s="54" t="s">
        <v>18</v>
      </c>
      <c r="C251" s="54" t="s">
        <v>22</v>
      </c>
      <c r="D251" s="54" t="s">
        <v>18</v>
      </c>
      <c r="E251" s="54" t="s">
        <v>21</v>
      </c>
      <c r="F251" s="54" t="s">
        <v>18</v>
      </c>
      <c r="G251" s="54" t="s">
        <v>22</v>
      </c>
      <c r="H251" s="54" t="s">
        <v>19</v>
      </c>
      <c r="I251" s="54" t="s">
        <v>24</v>
      </c>
      <c r="J251" s="54" t="s">
        <v>18</v>
      </c>
      <c r="K251" s="54" t="s">
        <v>18</v>
      </c>
      <c r="L251" s="54" t="s">
        <v>20</v>
      </c>
      <c r="M251" s="54" t="s">
        <v>37</v>
      </c>
      <c r="N251" s="54" t="s">
        <v>18</v>
      </c>
      <c r="O251" s="54" t="s">
        <v>24</v>
      </c>
      <c r="P251" s="54" t="s">
        <v>22</v>
      </c>
      <c r="Q251" s="54" t="s">
        <v>39</v>
      </c>
      <c r="R251" s="150"/>
      <c r="S251" s="63" t="s">
        <v>0</v>
      </c>
      <c r="T251" s="1">
        <v>245.4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59">
        <f t="shared" si="98"/>
        <v>245.4</v>
      </c>
      <c r="AB251" s="58">
        <v>2018</v>
      </c>
      <c r="AC251" s="9"/>
      <c r="AD251" s="101"/>
      <c r="AE251" s="101"/>
    </row>
    <row r="252" spans="1:31" ht="46.9" hidden="1" customHeight="1" x14ac:dyDescent="0.25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80" t="s">
        <v>195</v>
      </c>
      <c r="S252" s="84" t="s">
        <v>50</v>
      </c>
      <c r="T252" s="44">
        <v>26</v>
      </c>
      <c r="U252" s="44">
        <v>0</v>
      </c>
      <c r="V252" s="44">
        <v>0</v>
      </c>
      <c r="W252" s="44">
        <v>0</v>
      </c>
      <c r="X252" s="44">
        <v>0</v>
      </c>
      <c r="Y252" s="44">
        <v>0</v>
      </c>
      <c r="Z252" s="44">
        <v>0</v>
      </c>
      <c r="AA252" s="49">
        <f t="shared" si="98"/>
        <v>26</v>
      </c>
      <c r="AB252" s="41">
        <v>2018</v>
      </c>
      <c r="AC252" s="9"/>
      <c r="AD252" s="101"/>
      <c r="AE252" s="101"/>
    </row>
    <row r="253" spans="1:31" ht="15.6" hidden="1" customHeight="1" x14ac:dyDescent="0.25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150" t="s">
        <v>196</v>
      </c>
      <c r="S253" s="63" t="s">
        <v>0</v>
      </c>
      <c r="T253" s="1">
        <f>SUM(T254:T257)</f>
        <v>194.7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59">
        <f t="shared" si="98"/>
        <v>194.7</v>
      </c>
      <c r="AB253" s="58">
        <v>2018</v>
      </c>
      <c r="AC253" s="9"/>
      <c r="AD253" s="101"/>
      <c r="AE253" s="101"/>
    </row>
    <row r="254" spans="1:31" ht="15.6" hidden="1" customHeight="1" x14ac:dyDescent="0.25">
      <c r="A254" s="54" t="s">
        <v>18</v>
      </c>
      <c r="B254" s="54" t="s">
        <v>18</v>
      </c>
      <c r="C254" s="54" t="s">
        <v>22</v>
      </c>
      <c r="D254" s="54" t="s">
        <v>18</v>
      </c>
      <c r="E254" s="54" t="s">
        <v>21</v>
      </c>
      <c r="F254" s="54" t="s">
        <v>18</v>
      </c>
      <c r="G254" s="54" t="s">
        <v>22</v>
      </c>
      <c r="H254" s="54" t="s">
        <v>19</v>
      </c>
      <c r="I254" s="54" t="s">
        <v>24</v>
      </c>
      <c r="J254" s="54" t="s">
        <v>18</v>
      </c>
      <c r="K254" s="54" t="s">
        <v>18</v>
      </c>
      <c r="L254" s="54" t="s">
        <v>20</v>
      </c>
      <c r="M254" s="54" t="s">
        <v>19</v>
      </c>
      <c r="N254" s="54" t="s">
        <v>18</v>
      </c>
      <c r="O254" s="54" t="s">
        <v>24</v>
      </c>
      <c r="P254" s="54" t="s">
        <v>22</v>
      </c>
      <c r="Q254" s="54" t="s">
        <v>45</v>
      </c>
      <c r="R254" s="150"/>
      <c r="S254" s="63" t="s">
        <v>0</v>
      </c>
      <c r="T254" s="1">
        <v>77.3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59">
        <f t="shared" si="98"/>
        <v>77.3</v>
      </c>
      <c r="AB254" s="58">
        <v>2018</v>
      </c>
      <c r="AC254" s="9"/>
      <c r="AD254" s="101"/>
      <c r="AE254" s="101"/>
    </row>
    <row r="255" spans="1:31" ht="15.6" hidden="1" customHeight="1" x14ac:dyDescent="0.25">
      <c r="A255" s="54" t="s">
        <v>18</v>
      </c>
      <c r="B255" s="54" t="s">
        <v>18</v>
      </c>
      <c r="C255" s="54" t="s">
        <v>22</v>
      </c>
      <c r="D255" s="54" t="s">
        <v>18</v>
      </c>
      <c r="E255" s="54" t="s">
        <v>21</v>
      </c>
      <c r="F255" s="54" t="s">
        <v>18</v>
      </c>
      <c r="G255" s="54" t="s">
        <v>22</v>
      </c>
      <c r="H255" s="54" t="s">
        <v>19</v>
      </c>
      <c r="I255" s="54" t="s">
        <v>24</v>
      </c>
      <c r="J255" s="54" t="s">
        <v>18</v>
      </c>
      <c r="K255" s="54" t="s">
        <v>18</v>
      </c>
      <c r="L255" s="54" t="s">
        <v>20</v>
      </c>
      <c r="M255" s="54" t="s">
        <v>37</v>
      </c>
      <c r="N255" s="54" t="s">
        <v>18</v>
      </c>
      <c r="O255" s="54" t="s">
        <v>24</v>
      </c>
      <c r="P255" s="54" t="s">
        <v>22</v>
      </c>
      <c r="Q255" s="54" t="s">
        <v>46</v>
      </c>
      <c r="R255" s="150"/>
      <c r="S255" s="63" t="s">
        <v>0</v>
      </c>
      <c r="T255" s="1">
        <v>20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59">
        <f t="shared" si="98"/>
        <v>20</v>
      </c>
      <c r="AB255" s="58">
        <v>2018</v>
      </c>
      <c r="AC255" s="9"/>
      <c r="AD255" s="101"/>
      <c r="AE255" s="101"/>
    </row>
    <row r="256" spans="1:31" ht="15.6" hidden="1" customHeight="1" x14ac:dyDescent="0.25">
      <c r="A256" s="54" t="s">
        <v>18</v>
      </c>
      <c r="B256" s="54" t="s">
        <v>18</v>
      </c>
      <c r="C256" s="54" t="s">
        <v>22</v>
      </c>
      <c r="D256" s="54" t="s">
        <v>18</v>
      </c>
      <c r="E256" s="54" t="s">
        <v>21</v>
      </c>
      <c r="F256" s="54" t="s">
        <v>18</v>
      </c>
      <c r="G256" s="54" t="s">
        <v>22</v>
      </c>
      <c r="H256" s="54" t="s">
        <v>19</v>
      </c>
      <c r="I256" s="54" t="s">
        <v>24</v>
      </c>
      <c r="J256" s="54" t="s">
        <v>18</v>
      </c>
      <c r="K256" s="54" t="s">
        <v>18</v>
      </c>
      <c r="L256" s="54" t="s">
        <v>20</v>
      </c>
      <c r="M256" s="54" t="s">
        <v>37</v>
      </c>
      <c r="N256" s="54" t="s">
        <v>18</v>
      </c>
      <c r="O256" s="54" t="s">
        <v>24</v>
      </c>
      <c r="P256" s="54" t="s">
        <v>22</v>
      </c>
      <c r="Q256" s="54" t="s">
        <v>46</v>
      </c>
      <c r="R256" s="150"/>
      <c r="S256" s="63" t="s">
        <v>0</v>
      </c>
      <c r="T256" s="1">
        <v>19.5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59">
        <f t="shared" si="98"/>
        <v>19.5</v>
      </c>
      <c r="AB256" s="58">
        <v>2018</v>
      </c>
      <c r="AC256" s="9"/>
      <c r="AD256" s="101"/>
      <c r="AE256" s="101"/>
    </row>
    <row r="257" spans="1:31" ht="15.6" hidden="1" customHeight="1" x14ac:dyDescent="0.25">
      <c r="A257" s="54" t="s">
        <v>18</v>
      </c>
      <c r="B257" s="54" t="s">
        <v>18</v>
      </c>
      <c r="C257" s="54" t="s">
        <v>22</v>
      </c>
      <c r="D257" s="54" t="s">
        <v>18</v>
      </c>
      <c r="E257" s="54" t="s">
        <v>21</v>
      </c>
      <c r="F257" s="54" t="s">
        <v>18</v>
      </c>
      <c r="G257" s="54" t="s">
        <v>22</v>
      </c>
      <c r="H257" s="54" t="s">
        <v>19</v>
      </c>
      <c r="I257" s="54" t="s">
        <v>24</v>
      </c>
      <c r="J257" s="54" t="s">
        <v>18</v>
      </c>
      <c r="K257" s="54" t="s">
        <v>18</v>
      </c>
      <c r="L257" s="54" t="s">
        <v>20</v>
      </c>
      <c r="M257" s="54" t="s">
        <v>37</v>
      </c>
      <c r="N257" s="54" t="s">
        <v>18</v>
      </c>
      <c r="O257" s="54" t="s">
        <v>24</v>
      </c>
      <c r="P257" s="54" t="s">
        <v>22</v>
      </c>
      <c r="Q257" s="54" t="s">
        <v>39</v>
      </c>
      <c r="R257" s="150"/>
      <c r="S257" s="63" t="s">
        <v>0</v>
      </c>
      <c r="T257" s="1">
        <v>77.900000000000006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59">
        <f t="shared" si="98"/>
        <v>77.900000000000006</v>
      </c>
      <c r="AB257" s="58">
        <v>2018</v>
      </c>
      <c r="AC257" s="9"/>
      <c r="AD257" s="101"/>
      <c r="AE257" s="101"/>
    </row>
    <row r="258" spans="1:31" s="72" customFormat="1" ht="31.15" hidden="1" customHeight="1" x14ac:dyDescent="0.25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80" t="s">
        <v>197</v>
      </c>
      <c r="S258" s="52" t="s">
        <v>50</v>
      </c>
      <c r="T258" s="44">
        <v>1</v>
      </c>
      <c r="U258" s="44">
        <v>0</v>
      </c>
      <c r="V258" s="44">
        <v>0</v>
      </c>
      <c r="W258" s="44">
        <v>0</v>
      </c>
      <c r="X258" s="44">
        <v>0</v>
      </c>
      <c r="Y258" s="44">
        <v>0</v>
      </c>
      <c r="Z258" s="44">
        <v>0</v>
      </c>
      <c r="AA258" s="49">
        <f t="shared" si="98"/>
        <v>1</v>
      </c>
      <c r="AB258" s="41">
        <v>2018</v>
      </c>
      <c r="AC258" s="70"/>
      <c r="AD258" s="85"/>
      <c r="AE258" s="85"/>
    </row>
    <row r="259" spans="1:31" ht="31.15" hidden="1" customHeight="1" x14ac:dyDescent="0.25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80" t="s">
        <v>198</v>
      </c>
      <c r="S259" s="84" t="s">
        <v>176</v>
      </c>
      <c r="T259" s="3">
        <v>15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6">
        <f t="shared" si="98"/>
        <v>15</v>
      </c>
      <c r="AB259" s="41">
        <v>2018</v>
      </c>
      <c r="AC259" s="9"/>
      <c r="AD259" s="101"/>
      <c r="AE259" s="101"/>
    </row>
    <row r="260" spans="1:31" ht="15.6" hidden="1" customHeight="1" x14ac:dyDescent="0.25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150" t="s">
        <v>199</v>
      </c>
      <c r="S260" s="63" t="s">
        <v>0</v>
      </c>
      <c r="T260" s="1">
        <f>SUM(T261:T264)</f>
        <v>119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59">
        <f t="shared" si="98"/>
        <v>119</v>
      </c>
      <c r="AB260" s="58">
        <v>2018</v>
      </c>
      <c r="AC260" s="9"/>
      <c r="AD260" s="101"/>
      <c r="AE260" s="101"/>
    </row>
    <row r="261" spans="1:31" ht="15.6" hidden="1" customHeight="1" x14ac:dyDescent="0.25">
      <c r="A261" s="54" t="s">
        <v>18</v>
      </c>
      <c r="B261" s="54" t="s">
        <v>18</v>
      </c>
      <c r="C261" s="54" t="s">
        <v>22</v>
      </c>
      <c r="D261" s="54" t="s">
        <v>18</v>
      </c>
      <c r="E261" s="54" t="s">
        <v>24</v>
      </c>
      <c r="F261" s="54" t="s">
        <v>18</v>
      </c>
      <c r="G261" s="54" t="s">
        <v>43</v>
      </c>
      <c r="H261" s="54" t="s">
        <v>19</v>
      </c>
      <c r="I261" s="54" t="s">
        <v>24</v>
      </c>
      <c r="J261" s="54" t="s">
        <v>18</v>
      </c>
      <c r="K261" s="54" t="s">
        <v>18</v>
      </c>
      <c r="L261" s="54" t="s">
        <v>20</v>
      </c>
      <c r="M261" s="54" t="s">
        <v>19</v>
      </c>
      <c r="N261" s="54" t="s">
        <v>18</v>
      </c>
      <c r="O261" s="54" t="s">
        <v>24</v>
      </c>
      <c r="P261" s="54" t="s">
        <v>22</v>
      </c>
      <c r="Q261" s="54" t="s">
        <v>45</v>
      </c>
      <c r="R261" s="150"/>
      <c r="S261" s="63" t="s">
        <v>0</v>
      </c>
      <c r="T261" s="1">
        <v>47.6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59">
        <f t="shared" si="98"/>
        <v>47.6</v>
      </c>
      <c r="AB261" s="58">
        <v>2018</v>
      </c>
      <c r="AC261" s="9"/>
      <c r="AD261" s="101"/>
      <c r="AE261" s="101"/>
    </row>
    <row r="262" spans="1:31" ht="15.6" hidden="1" customHeight="1" x14ac:dyDescent="0.25">
      <c r="A262" s="54" t="s">
        <v>18</v>
      </c>
      <c r="B262" s="54" t="s">
        <v>18</v>
      </c>
      <c r="C262" s="54" t="s">
        <v>22</v>
      </c>
      <c r="D262" s="54" t="s">
        <v>18</v>
      </c>
      <c r="E262" s="54" t="s">
        <v>24</v>
      </c>
      <c r="F262" s="54" t="s">
        <v>18</v>
      </c>
      <c r="G262" s="54" t="s">
        <v>43</v>
      </c>
      <c r="H262" s="54" t="s">
        <v>19</v>
      </c>
      <c r="I262" s="54" t="s">
        <v>24</v>
      </c>
      <c r="J262" s="54" t="s">
        <v>18</v>
      </c>
      <c r="K262" s="54" t="s">
        <v>18</v>
      </c>
      <c r="L262" s="54" t="s">
        <v>20</v>
      </c>
      <c r="M262" s="54" t="s">
        <v>37</v>
      </c>
      <c r="N262" s="54" t="s">
        <v>18</v>
      </c>
      <c r="O262" s="54" t="s">
        <v>24</v>
      </c>
      <c r="P262" s="54" t="s">
        <v>22</v>
      </c>
      <c r="Q262" s="54" t="s">
        <v>46</v>
      </c>
      <c r="R262" s="150"/>
      <c r="S262" s="63" t="s">
        <v>0</v>
      </c>
      <c r="T262" s="1">
        <v>11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59">
        <f t="shared" si="98"/>
        <v>11</v>
      </c>
      <c r="AB262" s="58">
        <v>2018</v>
      </c>
      <c r="AC262" s="9"/>
      <c r="AD262" s="101"/>
      <c r="AE262" s="101"/>
    </row>
    <row r="263" spans="1:31" ht="15.6" hidden="1" customHeight="1" x14ac:dyDescent="0.25">
      <c r="A263" s="54" t="s">
        <v>18</v>
      </c>
      <c r="B263" s="54" t="s">
        <v>18</v>
      </c>
      <c r="C263" s="54" t="s">
        <v>22</v>
      </c>
      <c r="D263" s="54" t="s">
        <v>18</v>
      </c>
      <c r="E263" s="54" t="s">
        <v>24</v>
      </c>
      <c r="F263" s="54" t="s">
        <v>18</v>
      </c>
      <c r="G263" s="54" t="s">
        <v>43</v>
      </c>
      <c r="H263" s="54" t="s">
        <v>19</v>
      </c>
      <c r="I263" s="54" t="s">
        <v>24</v>
      </c>
      <c r="J263" s="54" t="s">
        <v>18</v>
      </c>
      <c r="K263" s="54" t="s">
        <v>18</v>
      </c>
      <c r="L263" s="54" t="s">
        <v>20</v>
      </c>
      <c r="M263" s="54" t="s">
        <v>37</v>
      </c>
      <c r="N263" s="54" t="s">
        <v>18</v>
      </c>
      <c r="O263" s="54" t="s">
        <v>24</v>
      </c>
      <c r="P263" s="54" t="s">
        <v>22</v>
      </c>
      <c r="Q263" s="54" t="s">
        <v>46</v>
      </c>
      <c r="R263" s="150"/>
      <c r="S263" s="63" t="s">
        <v>0</v>
      </c>
      <c r="T263" s="1">
        <v>12.8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59">
        <f t="shared" si="98"/>
        <v>12.8</v>
      </c>
      <c r="AB263" s="58">
        <v>2018</v>
      </c>
      <c r="AC263" s="9"/>
      <c r="AD263" s="101"/>
      <c r="AE263" s="101"/>
    </row>
    <row r="264" spans="1:31" ht="15.6" hidden="1" customHeight="1" x14ac:dyDescent="0.25">
      <c r="A264" s="54" t="s">
        <v>18</v>
      </c>
      <c r="B264" s="54" t="s">
        <v>18</v>
      </c>
      <c r="C264" s="54" t="s">
        <v>22</v>
      </c>
      <c r="D264" s="54" t="s">
        <v>18</v>
      </c>
      <c r="E264" s="54" t="s">
        <v>24</v>
      </c>
      <c r="F264" s="54" t="s">
        <v>18</v>
      </c>
      <c r="G264" s="54" t="s">
        <v>43</v>
      </c>
      <c r="H264" s="54" t="s">
        <v>19</v>
      </c>
      <c r="I264" s="54" t="s">
        <v>24</v>
      </c>
      <c r="J264" s="54" t="s">
        <v>18</v>
      </c>
      <c r="K264" s="54" t="s">
        <v>18</v>
      </c>
      <c r="L264" s="54" t="s">
        <v>20</v>
      </c>
      <c r="M264" s="54" t="s">
        <v>37</v>
      </c>
      <c r="N264" s="54" t="s">
        <v>18</v>
      </c>
      <c r="O264" s="54" t="s">
        <v>24</v>
      </c>
      <c r="P264" s="54" t="s">
        <v>22</v>
      </c>
      <c r="Q264" s="54" t="s">
        <v>39</v>
      </c>
      <c r="R264" s="150"/>
      <c r="S264" s="63" t="s">
        <v>0</v>
      </c>
      <c r="T264" s="1">
        <v>47.6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59">
        <f t="shared" si="98"/>
        <v>47.6</v>
      </c>
      <c r="AB264" s="58">
        <v>2018</v>
      </c>
      <c r="AC264" s="9"/>
      <c r="AD264" s="101"/>
      <c r="AE264" s="101"/>
    </row>
    <row r="265" spans="1:31" s="72" customFormat="1" ht="46.9" hidden="1" customHeight="1" x14ac:dyDescent="0.2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78" t="s">
        <v>200</v>
      </c>
      <c r="S265" s="89" t="s">
        <v>175</v>
      </c>
      <c r="T265" s="3">
        <v>65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49">
        <f t="shared" si="98"/>
        <v>65</v>
      </c>
      <c r="AB265" s="41">
        <v>2018</v>
      </c>
      <c r="AC265" s="70"/>
      <c r="AD265" s="85"/>
      <c r="AE265" s="85"/>
    </row>
    <row r="266" spans="1:31" x14ac:dyDescent="0.25">
      <c r="A266" s="54" t="s">
        <v>18</v>
      </c>
      <c r="B266" s="54" t="s">
        <v>18</v>
      </c>
      <c r="C266" s="54" t="s">
        <v>24</v>
      </c>
      <c r="D266" s="54" t="s">
        <v>18</v>
      </c>
      <c r="E266" s="54" t="s">
        <v>18</v>
      </c>
      <c r="F266" s="54" t="s">
        <v>18</v>
      </c>
      <c r="G266" s="54" t="s">
        <v>18</v>
      </c>
      <c r="H266" s="54" t="s">
        <v>19</v>
      </c>
      <c r="I266" s="54" t="s">
        <v>24</v>
      </c>
      <c r="J266" s="54" t="s">
        <v>18</v>
      </c>
      <c r="K266" s="54" t="s">
        <v>18</v>
      </c>
      <c r="L266" s="54" t="s">
        <v>20</v>
      </c>
      <c r="M266" s="54" t="s">
        <v>18</v>
      </c>
      <c r="N266" s="54" t="s">
        <v>18</v>
      </c>
      <c r="O266" s="54" t="s">
        <v>18</v>
      </c>
      <c r="P266" s="54" t="s">
        <v>18</v>
      </c>
      <c r="Q266" s="54" t="s">
        <v>18</v>
      </c>
      <c r="R266" s="150" t="s">
        <v>140</v>
      </c>
      <c r="S266" s="63" t="s">
        <v>0</v>
      </c>
      <c r="T266" s="59">
        <f>SUM(T267:T270)</f>
        <v>3440.1</v>
      </c>
      <c r="U266" s="59">
        <f>SUM(U269:U272)</f>
        <v>3636.2999999999997</v>
      </c>
      <c r="V266" s="59">
        <f>SUM(V267:V272)</f>
        <v>1375.3</v>
      </c>
      <c r="W266" s="59">
        <f t="shared" ref="W266:Z266" si="99">SUM(W267:W270)</f>
        <v>0</v>
      </c>
      <c r="X266" s="59">
        <f t="shared" si="99"/>
        <v>0</v>
      </c>
      <c r="Y266" s="59">
        <f t="shared" si="99"/>
        <v>0</v>
      </c>
      <c r="Z266" s="59">
        <f t="shared" si="99"/>
        <v>0</v>
      </c>
      <c r="AA266" s="59">
        <f t="shared" si="98"/>
        <v>8451.6999999999989</v>
      </c>
      <c r="AB266" s="58">
        <v>2020</v>
      </c>
      <c r="AC266" s="124"/>
      <c r="AD266" s="101"/>
      <c r="AE266" s="101"/>
    </row>
    <row r="267" spans="1:31" x14ac:dyDescent="0.25">
      <c r="A267" s="54" t="s">
        <v>18</v>
      </c>
      <c r="B267" s="54" t="s">
        <v>18</v>
      </c>
      <c r="C267" s="54" t="s">
        <v>24</v>
      </c>
      <c r="D267" s="54" t="s">
        <v>18</v>
      </c>
      <c r="E267" s="54" t="s">
        <v>18</v>
      </c>
      <c r="F267" s="54" t="s">
        <v>18</v>
      </c>
      <c r="G267" s="54" t="s">
        <v>18</v>
      </c>
      <c r="H267" s="54" t="s">
        <v>19</v>
      </c>
      <c r="I267" s="54" t="s">
        <v>24</v>
      </c>
      <c r="J267" s="54" t="s">
        <v>18</v>
      </c>
      <c r="K267" s="54" t="s">
        <v>18</v>
      </c>
      <c r="L267" s="54" t="s">
        <v>20</v>
      </c>
      <c r="M267" s="54" t="s">
        <v>19</v>
      </c>
      <c r="N267" s="54" t="s">
        <v>18</v>
      </c>
      <c r="O267" s="54" t="s">
        <v>24</v>
      </c>
      <c r="P267" s="54" t="s">
        <v>22</v>
      </c>
      <c r="Q267" s="54" t="s">
        <v>45</v>
      </c>
      <c r="R267" s="150"/>
      <c r="S267" s="63" t="s">
        <v>0</v>
      </c>
      <c r="T267" s="1">
        <f>T276+T282+T287+T292+T297+T302</f>
        <v>1609.7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59">
        <f t="shared" si="98"/>
        <v>1609.7</v>
      </c>
      <c r="AB267" s="58">
        <v>2018</v>
      </c>
      <c r="AC267" s="124"/>
      <c r="AD267" s="101"/>
      <c r="AE267" s="101"/>
    </row>
    <row r="268" spans="1:31" ht="15.6" hidden="1" customHeight="1" x14ac:dyDescent="0.25">
      <c r="A268" s="54" t="s">
        <v>18</v>
      </c>
      <c r="B268" s="54" t="s">
        <v>18</v>
      </c>
      <c r="C268" s="54" t="s">
        <v>24</v>
      </c>
      <c r="D268" s="54" t="s">
        <v>18</v>
      </c>
      <c r="E268" s="54" t="s">
        <v>18</v>
      </c>
      <c r="F268" s="54" t="s">
        <v>18</v>
      </c>
      <c r="G268" s="54" t="s">
        <v>18</v>
      </c>
      <c r="H268" s="54" t="s">
        <v>19</v>
      </c>
      <c r="I268" s="54" t="s">
        <v>24</v>
      </c>
      <c r="J268" s="54" t="s">
        <v>18</v>
      </c>
      <c r="K268" s="54" t="s">
        <v>18</v>
      </c>
      <c r="L268" s="54" t="s">
        <v>20</v>
      </c>
      <c r="M268" s="54" t="s">
        <v>37</v>
      </c>
      <c r="N268" s="54" t="s">
        <v>18</v>
      </c>
      <c r="O268" s="54" t="s">
        <v>43</v>
      </c>
      <c r="P268" s="54" t="s">
        <v>22</v>
      </c>
      <c r="Q268" s="54" t="s">
        <v>178</v>
      </c>
      <c r="R268" s="150"/>
      <c r="S268" s="63" t="s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59">
        <f t="shared" si="98"/>
        <v>0</v>
      </c>
      <c r="AB268" s="58">
        <v>2018</v>
      </c>
      <c r="AC268" s="124"/>
      <c r="AD268" s="101"/>
      <c r="AE268" s="101"/>
    </row>
    <row r="269" spans="1:31" x14ac:dyDescent="0.25">
      <c r="A269" s="54" t="s">
        <v>18</v>
      </c>
      <c r="B269" s="54" t="s">
        <v>18</v>
      </c>
      <c r="C269" s="54" t="s">
        <v>24</v>
      </c>
      <c r="D269" s="54" t="s">
        <v>18</v>
      </c>
      <c r="E269" s="54" t="s">
        <v>18</v>
      </c>
      <c r="F269" s="54" t="s">
        <v>18</v>
      </c>
      <c r="G269" s="54" t="s">
        <v>18</v>
      </c>
      <c r="H269" s="54" t="s">
        <v>19</v>
      </c>
      <c r="I269" s="54" t="s">
        <v>24</v>
      </c>
      <c r="J269" s="54" t="s">
        <v>18</v>
      </c>
      <c r="K269" s="54" t="s">
        <v>18</v>
      </c>
      <c r="L269" s="54" t="s">
        <v>20</v>
      </c>
      <c r="M269" s="54" t="s">
        <v>37</v>
      </c>
      <c r="N269" s="54" t="s">
        <v>18</v>
      </c>
      <c r="O269" s="54" t="s">
        <v>24</v>
      </c>
      <c r="P269" s="54" t="s">
        <v>22</v>
      </c>
      <c r="Q269" s="54" t="s">
        <v>46</v>
      </c>
      <c r="R269" s="150"/>
      <c r="S269" s="63" t="s">
        <v>0</v>
      </c>
      <c r="T269" s="1">
        <f>T278+T283+T288+T293+T298+T303</f>
        <v>441.79999999999995</v>
      </c>
      <c r="U269" s="1">
        <v>394.2</v>
      </c>
      <c r="V269" s="1">
        <v>235.1</v>
      </c>
      <c r="W269" s="1">
        <v>0</v>
      </c>
      <c r="X269" s="1">
        <v>0</v>
      </c>
      <c r="Y269" s="1">
        <v>0</v>
      </c>
      <c r="Z269" s="1">
        <v>0</v>
      </c>
      <c r="AA269" s="59">
        <f t="shared" si="98"/>
        <v>1071.0999999999999</v>
      </c>
      <c r="AB269" s="58">
        <v>2020</v>
      </c>
      <c r="AC269" s="124"/>
      <c r="AD269" s="101"/>
      <c r="AE269" s="101"/>
    </row>
    <row r="270" spans="1:31" x14ac:dyDescent="0.25">
      <c r="A270" s="54" t="s">
        <v>18</v>
      </c>
      <c r="B270" s="54" t="s">
        <v>18</v>
      </c>
      <c r="C270" s="54" t="s">
        <v>24</v>
      </c>
      <c r="D270" s="54" t="s">
        <v>18</v>
      </c>
      <c r="E270" s="54" t="s">
        <v>18</v>
      </c>
      <c r="F270" s="54" t="s">
        <v>18</v>
      </c>
      <c r="G270" s="54" t="s">
        <v>18</v>
      </c>
      <c r="H270" s="54" t="s">
        <v>19</v>
      </c>
      <c r="I270" s="54" t="s">
        <v>24</v>
      </c>
      <c r="J270" s="54" t="s">
        <v>18</v>
      </c>
      <c r="K270" s="54" t="s">
        <v>18</v>
      </c>
      <c r="L270" s="54" t="s">
        <v>20</v>
      </c>
      <c r="M270" s="54" t="s">
        <v>37</v>
      </c>
      <c r="N270" s="54" t="s">
        <v>18</v>
      </c>
      <c r="O270" s="54" t="s">
        <v>24</v>
      </c>
      <c r="P270" s="54" t="s">
        <v>22</v>
      </c>
      <c r="Q270" s="54" t="s">
        <v>39</v>
      </c>
      <c r="R270" s="150"/>
      <c r="S270" s="63" t="s">
        <v>0</v>
      </c>
      <c r="T270" s="1">
        <v>1388.6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59">
        <f t="shared" si="98"/>
        <v>1388.6</v>
      </c>
      <c r="AB270" s="58">
        <v>2018</v>
      </c>
      <c r="AC270" s="124"/>
      <c r="AD270" s="101"/>
      <c r="AE270" s="101"/>
    </row>
    <row r="271" spans="1:31" x14ac:dyDescent="0.25">
      <c r="A271" s="54" t="s">
        <v>18</v>
      </c>
      <c r="B271" s="54" t="s">
        <v>18</v>
      </c>
      <c r="C271" s="54" t="s">
        <v>24</v>
      </c>
      <c r="D271" s="54" t="s">
        <v>18</v>
      </c>
      <c r="E271" s="54" t="s">
        <v>18</v>
      </c>
      <c r="F271" s="54" t="s">
        <v>18</v>
      </c>
      <c r="G271" s="54" t="s">
        <v>18</v>
      </c>
      <c r="H271" s="54" t="s">
        <v>19</v>
      </c>
      <c r="I271" s="54" t="s">
        <v>24</v>
      </c>
      <c r="J271" s="54" t="s">
        <v>18</v>
      </c>
      <c r="K271" s="54" t="s">
        <v>18</v>
      </c>
      <c r="L271" s="54" t="s">
        <v>20</v>
      </c>
      <c r="M271" s="54" t="s">
        <v>19</v>
      </c>
      <c r="N271" s="54" t="s">
        <v>18</v>
      </c>
      <c r="O271" s="54" t="s">
        <v>24</v>
      </c>
      <c r="P271" s="54" t="s">
        <v>22</v>
      </c>
      <c r="Q271" s="54" t="s">
        <v>18</v>
      </c>
      <c r="R271" s="150"/>
      <c r="S271" s="63" t="s">
        <v>0</v>
      </c>
      <c r="T271" s="1">
        <v>0</v>
      </c>
      <c r="U271" s="1">
        <f>1865.4-95.4</f>
        <v>1770</v>
      </c>
      <c r="V271" s="1">
        <f>600-600</f>
        <v>0</v>
      </c>
      <c r="W271" s="1">
        <v>0</v>
      </c>
      <c r="X271" s="1">
        <v>0</v>
      </c>
      <c r="Y271" s="1">
        <v>0</v>
      </c>
      <c r="Z271" s="1">
        <v>0</v>
      </c>
      <c r="AA271" s="59">
        <f>SUM(T271:Y271)</f>
        <v>1770</v>
      </c>
      <c r="AB271" s="58">
        <v>2020</v>
      </c>
      <c r="AC271" s="124"/>
      <c r="AD271" s="101"/>
      <c r="AE271" s="101"/>
    </row>
    <row r="272" spans="1:31" x14ac:dyDescent="0.25">
      <c r="A272" s="54" t="s">
        <v>18</v>
      </c>
      <c r="B272" s="54" t="s">
        <v>18</v>
      </c>
      <c r="C272" s="54" t="s">
        <v>24</v>
      </c>
      <c r="D272" s="54" t="s">
        <v>18</v>
      </c>
      <c r="E272" s="54" t="s">
        <v>18</v>
      </c>
      <c r="F272" s="54" t="s">
        <v>18</v>
      </c>
      <c r="G272" s="54" t="s">
        <v>18</v>
      </c>
      <c r="H272" s="54" t="s">
        <v>19</v>
      </c>
      <c r="I272" s="54" t="s">
        <v>24</v>
      </c>
      <c r="J272" s="54" t="s">
        <v>18</v>
      </c>
      <c r="K272" s="54" t="s">
        <v>18</v>
      </c>
      <c r="L272" s="54" t="s">
        <v>20</v>
      </c>
      <c r="M272" s="54" t="s">
        <v>37</v>
      </c>
      <c r="N272" s="54" t="s">
        <v>18</v>
      </c>
      <c r="O272" s="54" t="s">
        <v>24</v>
      </c>
      <c r="P272" s="54" t="s">
        <v>22</v>
      </c>
      <c r="Q272" s="54" t="s">
        <v>18</v>
      </c>
      <c r="R272" s="150"/>
      <c r="S272" s="63" t="s">
        <v>0</v>
      </c>
      <c r="T272" s="1">
        <v>0</v>
      </c>
      <c r="U272" s="1">
        <v>1472.1</v>
      </c>
      <c r="V272" s="1">
        <f>540.2+600</f>
        <v>1140.2</v>
      </c>
      <c r="W272" s="1">
        <v>0</v>
      </c>
      <c r="X272" s="1">
        <v>0</v>
      </c>
      <c r="Y272" s="1">
        <v>0</v>
      </c>
      <c r="Z272" s="1">
        <v>0</v>
      </c>
      <c r="AA272" s="59">
        <f t="shared" ref="AA272" si="100">SUM(T272:Y272)</f>
        <v>2612.3000000000002</v>
      </c>
      <c r="AB272" s="58">
        <v>2020</v>
      </c>
      <c r="AC272" s="124"/>
      <c r="AD272" s="101"/>
      <c r="AE272" s="101"/>
    </row>
    <row r="273" spans="1:31" ht="47.25" x14ac:dyDescent="0.25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80" t="s">
        <v>310</v>
      </c>
      <c r="S273" s="62" t="s">
        <v>52</v>
      </c>
      <c r="T273" s="3">
        <v>0.2</v>
      </c>
      <c r="U273" s="3">
        <v>1.2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6">
        <f t="shared" si="98"/>
        <v>1.4</v>
      </c>
      <c r="AB273" s="41">
        <v>2019</v>
      </c>
      <c r="AC273" s="128"/>
      <c r="AD273" s="101"/>
      <c r="AE273" s="101"/>
    </row>
    <row r="274" spans="1:31" ht="47.25" x14ac:dyDescent="0.25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80" t="s">
        <v>311</v>
      </c>
      <c r="S274" s="84" t="s">
        <v>50</v>
      </c>
      <c r="T274" s="44">
        <v>6</v>
      </c>
      <c r="U274" s="44">
        <v>5</v>
      </c>
      <c r="V274" s="44">
        <v>1</v>
      </c>
      <c r="W274" s="44">
        <v>0</v>
      </c>
      <c r="X274" s="44">
        <v>0</v>
      </c>
      <c r="Y274" s="44">
        <v>0</v>
      </c>
      <c r="Z274" s="44">
        <v>0</v>
      </c>
      <c r="AA274" s="49">
        <f t="shared" si="98"/>
        <v>12</v>
      </c>
      <c r="AB274" s="41">
        <v>2020</v>
      </c>
      <c r="AC274" s="128"/>
      <c r="AD274" s="101"/>
      <c r="AE274" s="101"/>
    </row>
    <row r="275" spans="1:31" ht="16.350000000000001" hidden="1" customHeight="1" x14ac:dyDescent="0.25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150" t="s">
        <v>201</v>
      </c>
      <c r="S275" s="63" t="s">
        <v>0</v>
      </c>
      <c r="T275" s="1">
        <f>SUM(T276:T279)</f>
        <v>943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59">
        <f t="shared" si="98"/>
        <v>943</v>
      </c>
      <c r="AB275" s="58">
        <v>2018</v>
      </c>
      <c r="AC275" s="9"/>
      <c r="AD275" s="101"/>
      <c r="AE275" s="101"/>
    </row>
    <row r="276" spans="1:31" ht="16.350000000000001" hidden="1" customHeight="1" x14ac:dyDescent="0.25">
      <c r="A276" s="54" t="s">
        <v>18</v>
      </c>
      <c r="B276" s="54" t="s">
        <v>18</v>
      </c>
      <c r="C276" s="54" t="s">
        <v>24</v>
      </c>
      <c r="D276" s="54" t="s">
        <v>18</v>
      </c>
      <c r="E276" s="54" t="s">
        <v>24</v>
      </c>
      <c r="F276" s="54" t="s">
        <v>18</v>
      </c>
      <c r="G276" s="54" t="s">
        <v>43</v>
      </c>
      <c r="H276" s="54" t="s">
        <v>19</v>
      </c>
      <c r="I276" s="54" t="s">
        <v>24</v>
      </c>
      <c r="J276" s="54" t="s">
        <v>18</v>
      </c>
      <c r="K276" s="54" t="s">
        <v>18</v>
      </c>
      <c r="L276" s="54" t="s">
        <v>20</v>
      </c>
      <c r="M276" s="54" t="s">
        <v>19</v>
      </c>
      <c r="N276" s="54" t="s">
        <v>18</v>
      </c>
      <c r="O276" s="54" t="s">
        <v>24</v>
      </c>
      <c r="P276" s="54" t="s">
        <v>22</v>
      </c>
      <c r="Q276" s="54" t="s">
        <v>45</v>
      </c>
      <c r="R276" s="150"/>
      <c r="S276" s="63" t="s">
        <v>0</v>
      </c>
      <c r="T276" s="1">
        <v>377.2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59">
        <f t="shared" si="98"/>
        <v>377.2</v>
      </c>
      <c r="AB276" s="58">
        <v>2018</v>
      </c>
      <c r="AC276" s="9"/>
      <c r="AD276" s="101"/>
      <c r="AE276" s="101"/>
    </row>
    <row r="277" spans="1:31" ht="16.350000000000001" hidden="1" customHeight="1" x14ac:dyDescent="0.25">
      <c r="A277" s="54" t="s">
        <v>18</v>
      </c>
      <c r="B277" s="54" t="s">
        <v>18</v>
      </c>
      <c r="C277" s="54" t="s">
        <v>24</v>
      </c>
      <c r="D277" s="54" t="s">
        <v>18</v>
      </c>
      <c r="E277" s="54" t="s">
        <v>24</v>
      </c>
      <c r="F277" s="54" t="s">
        <v>18</v>
      </c>
      <c r="G277" s="54" t="s">
        <v>43</v>
      </c>
      <c r="H277" s="54" t="s">
        <v>19</v>
      </c>
      <c r="I277" s="54" t="s">
        <v>24</v>
      </c>
      <c r="J277" s="54" t="s">
        <v>18</v>
      </c>
      <c r="K277" s="54" t="s">
        <v>18</v>
      </c>
      <c r="L277" s="54" t="s">
        <v>20</v>
      </c>
      <c r="M277" s="54" t="s">
        <v>37</v>
      </c>
      <c r="N277" s="54" t="s">
        <v>18</v>
      </c>
      <c r="O277" s="54" t="s">
        <v>43</v>
      </c>
      <c r="P277" s="54" t="s">
        <v>22</v>
      </c>
      <c r="Q277" s="54" t="s">
        <v>178</v>
      </c>
      <c r="R277" s="150"/>
      <c r="S277" s="63" t="s">
        <v>0</v>
      </c>
      <c r="T277" s="1">
        <v>30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59">
        <f t="shared" si="98"/>
        <v>30</v>
      </c>
      <c r="AB277" s="58">
        <v>2018</v>
      </c>
      <c r="AC277" s="9"/>
      <c r="AD277" s="101"/>
      <c r="AE277" s="101"/>
    </row>
    <row r="278" spans="1:31" ht="16.350000000000001" hidden="1" customHeight="1" x14ac:dyDescent="0.25">
      <c r="A278" s="54" t="s">
        <v>18</v>
      </c>
      <c r="B278" s="54" t="s">
        <v>18</v>
      </c>
      <c r="C278" s="54" t="s">
        <v>24</v>
      </c>
      <c r="D278" s="54" t="s">
        <v>18</v>
      </c>
      <c r="E278" s="54" t="s">
        <v>24</v>
      </c>
      <c r="F278" s="54" t="s">
        <v>18</v>
      </c>
      <c r="G278" s="54" t="s">
        <v>43</v>
      </c>
      <c r="H278" s="54" t="s">
        <v>19</v>
      </c>
      <c r="I278" s="54" t="s">
        <v>24</v>
      </c>
      <c r="J278" s="54" t="s">
        <v>18</v>
      </c>
      <c r="K278" s="54" t="s">
        <v>18</v>
      </c>
      <c r="L278" s="54" t="s">
        <v>20</v>
      </c>
      <c r="M278" s="54" t="s">
        <v>37</v>
      </c>
      <c r="N278" s="54" t="s">
        <v>18</v>
      </c>
      <c r="O278" s="54" t="s">
        <v>24</v>
      </c>
      <c r="P278" s="54" t="s">
        <v>22</v>
      </c>
      <c r="Q278" s="54" t="s">
        <v>46</v>
      </c>
      <c r="R278" s="150"/>
      <c r="S278" s="63" t="s">
        <v>0</v>
      </c>
      <c r="T278" s="1">
        <v>113.2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59">
        <f t="shared" si="98"/>
        <v>113.2</v>
      </c>
      <c r="AB278" s="58">
        <v>2018</v>
      </c>
      <c r="AC278" s="9"/>
      <c r="AD278" s="101"/>
      <c r="AE278" s="101"/>
    </row>
    <row r="279" spans="1:31" ht="16.350000000000001" hidden="1" customHeight="1" x14ac:dyDescent="0.25">
      <c r="A279" s="54" t="s">
        <v>18</v>
      </c>
      <c r="B279" s="54" t="s">
        <v>18</v>
      </c>
      <c r="C279" s="54" t="s">
        <v>24</v>
      </c>
      <c r="D279" s="54" t="s">
        <v>18</v>
      </c>
      <c r="E279" s="54" t="s">
        <v>24</v>
      </c>
      <c r="F279" s="54" t="s">
        <v>18</v>
      </c>
      <c r="G279" s="54" t="s">
        <v>43</v>
      </c>
      <c r="H279" s="54" t="s">
        <v>19</v>
      </c>
      <c r="I279" s="54" t="s">
        <v>24</v>
      </c>
      <c r="J279" s="54" t="s">
        <v>18</v>
      </c>
      <c r="K279" s="54" t="s">
        <v>18</v>
      </c>
      <c r="L279" s="54" t="s">
        <v>20</v>
      </c>
      <c r="M279" s="54" t="s">
        <v>37</v>
      </c>
      <c r="N279" s="54" t="s">
        <v>18</v>
      </c>
      <c r="O279" s="54" t="s">
        <v>24</v>
      </c>
      <c r="P279" s="54" t="s">
        <v>22</v>
      </c>
      <c r="Q279" s="54" t="s">
        <v>39</v>
      </c>
      <c r="R279" s="150"/>
      <c r="S279" s="63" t="s">
        <v>0</v>
      </c>
      <c r="T279" s="1">
        <v>422.6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59">
        <f t="shared" si="98"/>
        <v>422.6</v>
      </c>
      <c r="AB279" s="58">
        <v>2018</v>
      </c>
      <c r="AC279" s="9"/>
      <c r="AD279" s="101"/>
      <c r="AE279" s="101"/>
    </row>
    <row r="280" spans="1:31" ht="33.6" hidden="1" customHeight="1" x14ac:dyDescent="0.25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88" t="s">
        <v>202</v>
      </c>
      <c r="S280" s="84" t="s">
        <v>175</v>
      </c>
      <c r="T280" s="3">
        <v>1046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6">
        <f t="shared" si="98"/>
        <v>1046</v>
      </c>
      <c r="AB280" s="41">
        <v>2018</v>
      </c>
      <c r="AC280" s="9"/>
      <c r="AD280" s="101"/>
      <c r="AE280" s="101"/>
    </row>
    <row r="281" spans="1:31" ht="21.75" hidden="1" customHeight="1" x14ac:dyDescent="0.25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150" t="s">
        <v>203</v>
      </c>
      <c r="S281" s="63" t="s">
        <v>0</v>
      </c>
      <c r="T281" s="1">
        <f>SUM(T282:T284)</f>
        <v>835.4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59">
        <f>SUM(T281:Y281)</f>
        <v>835.4</v>
      </c>
      <c r="AB281" s="58">
        <v>2018</v>
      </c>
      <c r="AC281" s="9"/>
      <c r="AD281" s="101"/>
      <c r="AE281" s="101"/>
    </row>
    <row r="282" spans="1:31" ht="22.9" hidden="1" customHeight="1" x14ac:dyDescent="0.25">
      <c r="A282" s="54" t="s">
        <v>18</v>
      </c>
      <c r="B282" s="54" t="s">
        <v>18</v>
      </c>
      <c r="C282" s="54" t="s">
        <v>24</v>
      </c>
      <c r="D282" s="54" t="s">
        <v>18</v>
      </c>
      <c r="E282" s="54" t="s">
        <v>21</v>
      </c>
      <c r="F282" s="54" t="s">
        <v>18</v>
      </c>
      <c r="G282" s="54" t="s">
        <v>22</v>
      </c>
      <c r="H282" s="54" t="s">
        <v>19</v>
      </c>
      <c r="I282" s="54" t="s">
        <v>24</v>
      </c>
      <c r="J282" s="54" t="s">
        <v>18</v>
      </c>
      <c r="K282" s="54" t="s">
        <v>18</v>
      </c>
      <c r="L282" s="54" t="s">
        <v>20</v>
      </c>
      <c r="M282" s="54" t="s">
        <v>19</v>
      </c>
      <c r="N282" s="54" t="s">
        <v>18</v>
      </c>
      <c r="O282" s="54" t="s">
        <v>24</v>
      </c>
      <c r="P282" s="54" t="s">
        <v>22</v>
      </c>
      <c r="Q282" s="54" t="s">
        <v>45</v>
      </c>
      <c r="R282" s="150"/>
      <c r="S282" s="63" t="s">
        <v>0</v>
      </c>
      <c r="T282" s="1">
        <v>334.2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59">
        <f>SUM(T282:Y282)</f>
        <v>334.2</v>
      </c>
      <c r="AB282" s="58">
        <v>2018</v>
      </c>
      <c r="AC282" s="9"/>
      <c r="AD282" s="101"/>
      <c r="AE282" s="101"/>
    </row>
    <row r="283" spans="1:31" ht="22.15" hidden="1" customHeight="1" x14ac:dyDescent="0.25">
      <c r="A283" s="54" t="s">
        <v>18</v>
      </c>
      <c r="B283" s="54" t="s">
        <v>18</v>
      </c>
      <c r="C283" s="54" t="s">
        <v>24</v>
      </c>
      <c r="D283" s="54" t="s">
        <v>18</v>
      </c>
      <c r="E283" s="54" t="s">
        <v>21</v>
      </c>
      <c r="F283" s="54" t="s">
        <v>18</v>
      </c>
      <c r="G283" s="54" t="s">
        <v>22</v>
      </c>
      <c r="H283" s="54" t="s">
        <v>19</v>
      </c>
      <c r="I283" s="54" t="s">
        <v>24</v>
      </c>
      <c r="J283" s="54" t="s">
        <v>18</v>
      </c>
      <c r="K283" s="54" t="s">
        <v>18</v>
      </c>
      <c r="L283" s="54" t="s">
        <v>20</v>
      </c>
      <c r="M283" s="54" t="s">
        <v>37</v>
      </c>
      <c r="N283" s="54" t="s">
        <v>18</v>
      </c>
      <c r="O283" s="54" t="s">
        <v>24</v>
      </c>
      <c r="P283" s="54" t="s">
        <v>22</v>
      </c>
      <c r="Q283" s="54" t="s">
        <v>46</v>
      </c>
      <c r="R283" s="150"/>
      <c r="S283" s="63" t="s">
        <v>0</v>
      </c>
      <c r="T283" s="1">
        <v>83.5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59">
        <f>SUM(T283:Y283)</f>
        <v>83.5</v>
      </c>
      <c r="AB283" s="58">
        <v>2018</v>
      </c>
      <c r="AC283" s="9"/>
      <c r="AD283" s="101"/>
      <c r="AE283" s="101"/>
    </row>
    <row r="284" spans="1:31" ht="21.75" hidden="1" customHeight="1" x14ac:dyDescent="0.25">
      <c r="A284" s="54" t="s">
        <v>18</v>
      </c>
      <c r="B284" s="54" t="s">
        <v>18</v>
      </c>
      <c r="C284" s="54" t="s">
        <v>24</v>
      </c>
      <c r="D284" s="54" t="s">
        <v>18</v>
      </c>
      <c r="E284" s="54" t="s">
        <v>21</v>
      </c>
      <c r="F284" s="54" t="s">
        <v>18</v>
      </c>
      <c r="G284" s="54" t="s">
        <v>22</v>
      </c>
      <c r="H284" s="54" t="s">
        <v>19</v>
      </c>
      <c r="I284" s="54" t="s">
        <v>24</v>
      </c>
      <c r="J284" s="54" t="s">
        <v>18</v>
      </c>
      <c r="K284" s="54" t="s">
        <v>18</v>
      </c>
      <c r="L284" s="54" t="s">
        <v>20</v>
      </c>
      <c r="M284" s="54" t="s">
        <v>37</v>
      </c>
      <c r="N284" s="54" t="s">
        <v>18</v>
      </c>
      <c r="O284" s="54" t="s">
        <v>24</v>
      </c>
      <c r="P284" s="54" t="s">
        <v>22</v>
      </c>
      <c r="Q284" s="54" t="s">
        <v>39</v>
      </c>
      <c r="R284" s="150"/>
      <c r="S284" s="63" t="s">
        <v>0</v>
      </c>
      <c r="T284" s="1">
        <v>417.7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59">
        <f>SUM(T284:Y284)</f>
        <v>417.7</v>
      </c>
      <c r="AB284" s="58">
        <v>2018</v>
      </c>
      <c r="AC284" s="9"/>
      <c r="AD284" s="101"/>
      <c r="AE284" s="101"/>
    </row>
    <row r="285" spans="1:31" ht="47.45" hidden="1" customHeight="1" x14ac:dyDescent="0.2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88" t="s">
        <v>204</v>
      </c>
      <c r="S285" s="84" t="s">
        <v>8</v>
      </c>
      <c r="T285" s="44">
        <v>1</v>
      </c>
      <c r="U285" s="44">
        <v>0</v>
      </c>
      <c r="V285" s="44">
        <v>0</v>
      </c>
      <c r="W285" s="44">
        <v>0</v>
      </c>
      <c r="X285" s="44">
        <v>0</v>
      </c>
      <c r="Y285" s="44">
        <v>0</v>
      </c>
      <c r="Z285" s="44">
        <v>0</v>
      </c>
      <c r="AA285" s="6">
        <f>SUM(T285:Y285)</f>
        <v>1</v>
      </c>
      <c r="AB285" s="41">
        <v>2018</v>
      </c>
      <c r="AC285" s="9"/>
      <c r="AD285" s="101"/>
      <c r="AE285" s="101"/>
    </row>
    <row r="286" spans="1:31" ht="16.350000000000001" hidden="1" customHeight="1" x14ac:dyDescent="0.25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150" t="s">
        <v>205</v>
      </c>
      <c r="S286" s="63" t="s">
        <v>0</v>
      </c>
      <c r="T286" s="1">
        <f>SUM(T287:T289)</f>
        <v>952.5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59">
        <f t="shared" ref="AA286:AA315" si="101">SUM(T286:Y286)</f>
        <v>952.5</v>
      </c>
      <c r="AB286" s="58">
        <v>2018</v>
      </c>
      <c r="AC286" s="9"/>
      <c r="AD286" s="101"/>
      <c r="AE286" s="101"/>
    </row>
    <row r="287" spans="1:31" ht="16.350000000000001" hidden="1" customHeight="1" x14ac:dyDescent="0.25">
      <c r="A287" s="54" t="s">
        <v>18</v>
      </c>
      <c r="B287" s="54" t="s">
        <v>18</v>
      </c>
      <c r="C287" s="54" t="s">
        <v>24</v>
      </c>
      <c r="D287" s="54" t="s">
        <v>18</v>
      </c>
      <c r="E287" s="54" t="s">
        <v>21</v>
      </c>
      <c r="F287" s="54" t="s">
        <v>18</v>
      </c>
      <c r="G287" s="54" t="s">
        <v>22</v>
      </c>
      <c r="H287" s="54" t="s">
        <v>19</v>
      </c>
      <c r="I287" s="54" t="s">
        <v>24</v>
      </c>
      <c r="J287" s="54" t="s">
        <v>18</v>
      </c>
      <c r="K287" s="54" t="s">
        <v>18</v>
      </c>
      <c r="L287" s="54" t="s">
        <v>20</v>
      </c>
      <c r="M287" s="54" t="s">
        <v>19</v>
      </c>
      <c r="N287" s="54" t="s">
        <v>18</v>
      </c>
      <c r="O287" s="54" t="s">
        <v>24</v>
      </c>
      <c r="P287" s="54" t="s">
        <v>22</v>
      </c>
      <c r="Q287" s="54" t="s">
        <v>45</v>
      </c>
      <c r="R287" s="150"/>
      <c r="S287" s="63" t="s">
        <v>0</v>
      </c>
      <c r="T287" s="1">
        <v>381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59">
        <f t="shared" si="101"/>
        <v>381</v>
      </c>
      <c r="AB287" s="58">
        <v>2018</v>
      </c>
      <c r="AC287" s="9"/>
      <c r="AD287" s="101"/>
      <c r="AE287" s="101"/>
    </row>
    <row r="288" spans="1:31" ht="16.350000000000001" hidden="1" customHeight="1" x14ac:dyDescent="0.25">
      <c r="A288" s="54" t="s">
        <v>18</v>
      </c>
      <c r="B288" s="54" t="s">
        <v>18</v>
      </c>
      <c r="C288" s="54" t="s">
        <v>24</v>
      </c>
      <c r="D288" s="54" t="s">
        <v>18</v>
      </c>
      <c r="E288" s="54" t="s">
        <v>21</v>
      </c>
      <c r="F288" s="54" t="s">
        <v>18</v>
      </c>
      <c r="G288" s="54" t="s">
        <v>22</v>
      </c>
      <c r="H288" s="54" t="s">
        <v>19</v>
      </c>
      <c r="I288" s="54" t="s">
        <v>24</v>
      </c>
      <c r="J288" s="54" t="s">
        <v>18</v>
      </c>
      <c r="K288" s="54" t="s">
        <v>18</v>
      </c>
      <c r="L288" s="54" t="s">
        <v>20</v>
      </c>
      <c r="M288" s="54" t="s">
        <v>37</v>
      </c>
      <c r="N288" s="54" t="s">
        <v>18</v>
      </c>
      <c r="O288" s="54" t="s">
        <v>24</v>
      </c>
      <c r="P288" s="54" t="s">
        <v>22</v>
      </c>
      <c r="Q288" s="54" t="s">
        <v>46</v>
      </c>
      <c r="R288" s="150"/>
      <c r="S288" s="63" t="s">
        <v>0</v>
      </c>
      <c r="T288" s="1">
        <v>114.3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59">
        <f t="shared" si="101"/>
        <v>114.3</v>
      </c>
      <c r="AB288" s="58">
        <v>2018</v>
      </c>
      <c r="AC288" s="9"/>
      <c r="AD288" s="101"/>
      <c r="AE288" s="101"/>
    </row>
    <row r="289" spans="1:31" ht="16.350000000000001" hidden="1" customHeight="1" x14ac:dyDescent="0.25">
      <c r="A289" s="54" t="s">
        <v>18</v>
      </c>
      <c r="B289" s="54" t="s">
        <v>18</v>
      </c>
      <c r="C289" s="54" t="s">
        <v>24</v>
      </c>
      <c r="D289" s="54" t="s">
        <v>18</v>
      </c>
      <c r="E289" s="54" t="s">
        <v>21</v>
      </c>
      <c r="F289" s="54" t="s">
        <v>18</v>
      </c>
      <c r="G289" s="54" t="s">
        <v>22</v>
      </c>
      <c r="H289" s="54" t="s">
        <v>19</v>
      </c>
      <c r="I289" s="54" t="s">
        <v>24</v>
      </c>
      <c r="J289" s="54" t="s">
        <v>18</v>
      </c>
      <c r="K289" s="54" t="s">
        <v>18</v>
      </c>
      <c r="L289" s="54" t="s">
        <v>20</v>
      </c>
      <c r="M289" s="54" t="s">
        <v>37</v>
      </c>
      <c r="N289" s="54" t="s">
        <v>18</v>
      </c>
      <c r="O289" s="54" t="s">
        <v>24</v>
      </c>
      <c r="P289" s="54" t="s">
        <v>22</v>
      </c>
      <c r="Q289" s="54" t="s">
        <v>39</v>
      </c>
      <c r="R289" s="150"/>
      <c r="S289" s="63" t="s">
        <v>0</v>
      </c>
      <c r="T289" s="1">
        <v>457.2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59">
        <f t="shared" si="101"/>
        <v>457.2</v>
      </c>
      <c r="AB289" s="58">
        <v>2018</v>
      </c>
      <c r="AC289" s="9"/>
      <c r="AD289" s="101"/>
      <c r="AE289" s="101"/>
    </row>
    <row r="290" spans="1:31" ht="31.15" hidden="1" customHeight="1" x14ac:dyDescent="0.25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80" t="s">
        <v>206</v>
      </c>
      <c r="S290" s="84" t="s">
        <v>175</v>
      </c>
      <c r="T290" s="3">
        <v>151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6">
        <f t="shared" si="101"/>
        <v>151</v>
      </c>
      <c r="AB290" s="41">
        <v>2018</v>
      </c>
      <c r="AC290" s="9"/>
      <c r="AD290" s="101"/>
      <c r="AE290" s="101"/>
    </row>
    <row r="291" spans="1:31" ht="15.6" hidden="1" customHeight="1" x14ac:dyDescent="0.25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150" t="s">
        <v>207</v>
      </c>
      <c r="S291" s="63" t="s">
        <v>0</v>
      </c>
      <c r="T291" s="1">
        <f>SUM(T292:T294)</f>
        <v>435.8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59">
        <f t="shared" si="101"/>
        <v>435.8</v>
      </c>
      <c r="AB291" s="58">
        <v>2018</v>
      </c>
      <c r="AC291" s="9"/>
      <c r="AD291" s="101"/>
      <c r="AE291" s="101"/>
    </row>
    <row r="292" spans="1:31" ht="15.6" hidden="1" customHeight="1" x14ac:dyDescent="0.25">
      <c r="A292" s="54" t="s">
        <v>18</v>
      </c>
      <c r="B292" s="54" t="s">
        <v>18</v>
      </c>
      <c r="C292" s="54" t="s">
        <v>24</v>
      </c>
      <c r="D292" s="54" t="s">
        <v>18</v>
      </c>
      <c r="E292" s="54" t="s">
        <v>21</v>
      </c>
      <c r="F292" s="54" t="s">
        <v>18</v>
      </c>
      <c r="G292" s="54" t="s">
        <v>22</v>
      </c>
      <c r="H292" s="54" t="s">
        <v>19</v>
      </c>
      <c r="I292" s="54" t="s">
        <v>24</v>
      </c>
      <c r="J292" s="54" t="s">
        <v>18</v>
      </c>
      <c r="K292" s="54" t="s">
        <v>18</v>
      </c>
      <c r="L292" s="54" t="s">
        <v>20</v>
      </c>
      <c r="M292" s="54" t="s">
        <v>19</v>
      </c>
      <c r="N292" s="54" t="s">
        <v>18</v>
      </c>
      <c r="O292" s="54" t="s">
        <v>24</v>
      </c>
      <c r="P292" s="54" t="s">
        <v>22</v>
      </c>
      <c r="Q292" s="54" t="s">
        <v>45</v>
      </c>
      <c r="R292" s="150"/>
      <c r="S292" s="63" t="s">
        <v>0</v>
      </c>
      <c r="T292" s="1">
        <v>174.3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59">
        <f t="shared" si="101"/>
        <v>174.3</v>
      </c>
      <c r="AB292" s="58">
        <v>2018</v>
      </c>
      <c r="AC292" s="9"/>
      <c r="AD292" s="101"/>
      <c r="AE292" s="101"/>
    </row>
    <row r="293" spans="1:31" ht="15.6" hidden="1" customHeight="1" x14ac:dyDescent="0.25">
      <c r="A293" s="54" t="s">
        <v>18</v>
      </c>
      <c r="B293" s="54" t="s">
        <v>18</v>
      </c>
      <c r="C293" s="54" t="s">
        <v>24</v>
      </c>
      <c r="D293" s="54" t="s">
        <v>18</v>
      </c>
      <c r="E293" s="54" t="s">
        <v>21</v>
      </c>
      <c r="F293" s="54" t="s">
        <v>18</v>
      </c>
      <c r="G293" s="54" t="s">
        <v>22</v>
      </c>
      <c r="H293" s="54" t="s">
        <v>19</v>
      </c>
      <c r="I293" s="54" t="s">
        <v>24</v>
      </c>
      <c r="J293" s="54" t="s">
        <v>18</v>
      </c>
      <c r="K293" s="54" t="s">
        <v>18</v>
      </c>
      <c r="L293" s="54" t="s">
        <v>20</v>
      </c>
      <c r="M293" s="54" t="s">
        <v>37</v>
      </c>
      <c r="N293" s="54" t="s">
        <v>18</v>
      </c>
      <c r="O293" s="54" t="s">
        <v>24</v>
      </c>
      <c r="P293" s="54" t="s">
        <v>22</v>
      </c>
      <c r="Q293" s="54" t="s">
        <v>46</v>
      </c>
      <c r="R293" s="150"/>
      <c r="S293" s="63" t="s">
        <v>0</v>
      </c>
      <c r="T293" s="1">
        <v>45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59">
        <f t="shared" si="101"/>
        <v>45</v>
      </c>
      <c r="AB293" s="58">
        <v>2018</v>
      </c>
      <c r="AC293" s="9"/>
      <c r="AD293" s="101"/>
      <c r="AE293" s="101"/>
    </row>
    <row r="294" spans="1:31" ht="15.6" hidden="1" customHeight="1" x14ac:dyDescent="0.25">
      <c r="A294" s="54" t="s">
        <v>18</v>
      </c>
      <c r="B294" s="54" t="s">
        <v>18</v>
      </c>
      <c r="C294" s="54" t="s">
        <v>24</v>
      </c>
      <c r="D294" s="54" t="s">
        <v>18</v>
      </c>
      <c r="E294" s="54" t="s">
        <v>21</v>
      </c>
      <c r="F294" s="54" t="s">
        <v>18</v>
      </c>
      <c r="G294" s="54" t="s">
        <v>22</v>
      </c>
      <c r="H294" s="54" t="s">
        <v>19</v>
      </c>
      <c r="I294" s="54" t="s">
        <v>24</v>
      </c>
      <c r="J294" s="54" t="s">
        <v>18</v>
      </c>
      <c r="K294" s="54" t="s">
        <v>18</v>
      </c>
      <c r="L294" s="54" t="s">
        <v>20</v>
      </c>
      <c r="M294" s="54" t="s">
        <v>37</v>
      </c>
      <c r="N294" s="54" t="s">
        <v>18</v>
      </c>
      <c r="O294" s="54" t="s">
        <v>24</v>
      </c>
      <c r="P294" s="54" t="s">
        <v>22</v>
      </c>
      <c r="Q294" s="54" t="s">
        <v>39</v>
      </c>
      <c r="R294" s="150"/>
      <c r="S294" s="63" t="s">
        <v>0</v>
      </c>
      <c r="T294" s="1">
        <v>216.5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59">
        <f t="shared" si="101"/>
        <v>216.5</v>
      </c>
      <c r="AB294" s="58">
        <v>2018</v>
      </c>
      <c r="AC294" s="9"/>
      <c r="AD294" s="101"/>
      <c r="AE294" s="101"/>
    </row>
    <row r="295" spans="1:31" ht="46.9" hidden="1" customHeight="1" x14ac:dyDescent="0.25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80" t="s">
        <v>208</v>
      </c>
      <c r="S295" s="84" t="s">
        <v>50</v>
      </c>
      <c r="T295" s="44">
        <v>16</v>
      </c>
      <c r="U295" s="44">
        <v>0</v>
      </c>
      <c r="V295" s="44">
        <v>0</v>
      </c>
      <c r="W295" s="44">
        <v>0</v>
      </c>
      <c r="X295" s="44">
        <v>0</v>
      </c>
      <c r="Y295" s="44">
        <v>0</v>
      </c>
      <c r="Z295" s="44">
        <v>0</v>
      </c>
      <c r="AA295" s="49">
        <f t="shared" si="101"/>
        <v>16</v>
      </c>
      <c r="AB295" s="41">
        <v>2018</v>
      </c>
      <c r="AC295" s="9"/>
      <c r="AD295" s="101"/>
      <c r="AE295" s="101"/>
    </row>
    <row r="296" spans="1:31" ht="15.6" hidden="1" customHeight="1" x14ac:dyDescent="0.25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150" t="s">
        <v>209</v>
      </c>
      <c r="S296" s="63" t="s">
        <v>0</v>
      </c>
      <c r="T296" s="1">
        <f>SUM(T297:T299)</f>
        <v>349.1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59">
        <f t="shared" si="101"/>
        <v>349.1</v>
      </c>
      <c r="AB296" s="58">
        <v>2018</v>
      </c>
      <c r="AC296" s="9"/>
      <c r="AD296" s="101"/>
      <c r="AE296" s="101"/>
    </row>
    <row r="297" spans="1:31" ht="15.6" hidden="1" customHeight="1" x14ac:dyDescent="0.25">
      <c r="A297" s="54" t="s">
        <v>18</v>
      </c>
      <c r="B297" s="54" t="s">
        <v>18</v>
      </c>
      <c r="C297" s="54" t="s">
        <v>24</v>
      </c>
      <c r="D297" s="54" t="s">
        <v>18</v>
      </c>
      <c r="E297" s="54" t="s">
        <v>21</v>
      </c>
      <c r="F297" s="54" t="s">
        <v>18</v>
      </c>
      <c r="G297" s="54" t="s">
        <v>22</v>
      </c>
      <c r="H297" s="54" t="s">
        <v>19</v>
      </c>
      <c r="I297" s="54" t="s">
        <v>24</v>
      </c>
      <c r="J297" s="54" t="s">
        <v>18</v>
      </c>
      <c r="K297" s="54" t="s">
        <v>18</v>
      </c>
      <c r="L297" s="54" t="s">
        <v>20</v>
      </c>
      <c r="M297" s="54" t="s">
        <v>19</v>
      </c>
      <c r="N297" s="54" t="s">
        <v>18</v>
      </c>
      <c r="O297" s="54" t="s">
        <v>24</v>
      </c>
      <c r="P297" s="54" t="s">
        <v>22</v>
      </c>
      <c r="Q297" s="54" t="s">
        <v>45</v>
      </c>
      <c r="R297" s="150"/>
      <c r="S297" s="63" t="s">
        <v>0</v>
      </c>
      <c r="T297" s="1">
        <v>139.6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59">
        <f t="shared" si="101"/>
        <v>139.6</v>
      </c>
      <c r="AB297" s="58">
        <v>2018</v>
      </c>
      <c r="AC297" s="9"/>
      <c r="AD297" s="101"/>
      <c r="AE297" s="101"/>
    </row>
    <row r="298" spans="1:31" ht="15.6" hidden="1" customHeight="1" x14ac:dyDescent="0.25">
      <c r="A298" s="54" t="s">
        <v>18</v>
      </c>
      <c r="B298" s="54" t="s">
        <v>18</v>
      </c>
      <c r="C298" s="54" t="s">
        <v>24</v>
      </c>
      <c r="D298" s="54" t="s">
        <v>18</v>
      </c>
      <c r="E298" s="54" t="s">
        <v>21</v>
      </c>
      <c r="F298" s="54" t="s">
        <v>18</v>
      </c>
      <c r="G298" s="54" t="s">
        <v>22</v>
      </c>
      <c r="H298" s="54" t="s">
        <v>19</v>
      </c>
      <c r="I298" s="54" t="s">
        <v>24</v>
      </c>
      <c r="J298" s="54" t="s">
        <v>18</v>
      </c>
      <c r="K298" s="54" t="s">
        <v>18</v>
      </c>
      <c r="L298" s="54" t="s">
        <v>20</v>
      </c>
      <c r="M298" s="54" t="s">
        <v>37</v>
      </c>
      <c r="N298" s="54" t="s">
        <v>18</v>
      </c>
      <c r="O298" s="54" t="s">
        <v>24</v>
      </c>
      <c r="P298" s="54" t="s">
        <v>22</v>
      </c>
      <c r="Q298" s="54" t="s">
        <v>46</v>
      </c>
      <c r="R298" s="150"/>
      <c r="S298" s="63" t="s">
        <v>0</v>
      </c>
      <c r="T298" s="1">
        <v>34.9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59">
        <f t="shared" si="101"/>
        <v>34.9</v>
      </c>
      <c r="AB298" s="58">
        <v>2018</v>
      </c>
      <c r="AC298" s="9"/>
      <c r="AD298" s="101"/>
      <c r="AE298" s="101"/>
    </row>
    <row r="299" spans="1:31" ht="15.6" hidden="1" customHeight="1" x14ac:dyDescent="0.25">
      <c r="A299" s="54" t="s">
        <v>18</v>
      </c>
      <c r="B299" s="54" t="s">
        <v>18</v>
      </c>
      <c r="C299" s="54" t="s">
        <v>24</v>
      </c>
      <c r="D299" s="54" t="s">
        <v>18</v>
      </c>
      <c r="E299" s="54" t="s">
        <v>21</v>
      </c>
      <c r="F299" s="54" t="s">
        <v>18</v>
      </c>
      <c r="G299" s="54" t="s">
        <v>22</v>
      </c>
      <c r="H299" s="54" t="s">
        <v>19</v>
      </c>
      <c r="I299" s="54" t="s">
        <v>24</v>
      </c>
      <c r="J299" s="54" t="s">
        <v>18</v>
      </c>
      <c r="K299" s="54" t="s">
        <v>18</v>
      </c>
      <c r="L299" s="54" t="s">
        <v>20</v>
      </c>
      <c r="M299" s="54" t="s">
        <v>37</v>
      </c>
      <c r="N299" s="54" t="s">
        <v>18</v>
      </c>
      <c r="O299" s="54" t="s">
        <v>24</v>
      </c>
      <c r="P299" s="54" t="s">
        <v>22</v>
      </c>
      <c r="Q299" s="54" t="s">
        <v>39</v>
      </c>
      <c r="R299" s="150"/>
      <c r="S299" s="63" t="s">
        <v>0</v>
      </c>
      <c r="T299" s="1">
        <v>174.6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59">
        <f t="shared" si="101"/>
        <v>174.6</v>
      </c>
      <c r="AB299" s="58">
        <v>2018</v>
      </c>
      <c r="AC299" s="9"/>
      <c r="AD299" s="101"/>
      <c r="AE299" s="101"/>
    </row>
    <row r="300" spans="1:31" ht="30.6" hidden="1" customHeight="1" x14ac:dyDescent="0.25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80" t="s">
        <v>210</v>
      </c>
      <c r="S300" s="84" t="s">
        <v>176</v>
      </c>
      <c r="T300" s="3">
        <v>49.7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6">
        <f t="shared" si="101"/>
        <v>49.7</v>
      </c>
      <c r="AB300" s="41">
        <v>2018</v>
      </c>
      <c r="AC300" s="9"/>
      <c r="AD300" s="101"/>
      <c r="AE300" s="101"/>
    </row>
    <row r="301" spans="1:31" ht="15.6" hidden="1" customHeight="1" x14ac:dyDescent="0.25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150" t="s">
        <v>211</v>
      </c>
      <c r="S301" s="63" t="s">
        <v>0</v>
      </c>
      <c r="T301" s="1">
        <f>SUM(T302:T304)</f>
        <v>508.5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59">
        <f t="shared" si="101"/>
        <v>508.5</v>
      </c>
      <c r="AB301" s="58">
        <v>2018</v>
      </c>
      <c r="AC301" s="9"/>
      <c r="AD301" s="101"/>
      <c r="AE301" s="101"/>
    </row>
    <row r="302" spans="1:31" ht="15.6" hidden="1" customHeight="1" x14ac:dyDescent="0.25">
      <c r="A302" s="54" t="s">
        <v>18</v>
      </c>
      <c r="B302" s="54" t="s">
        <v>18</v>
      </c>
      <c r="C302" s="54" t="s">
        <v>24</v>
      </c>
      <c r="D302" s="54" t="s">
        <v>18</v>
      </c>
      <c r="E302" s="54" t="s">
        <v>21</v>
      </c>
      <c r="F302" s="54" t="s">
        <v>18</v>
      </c>
      <c r="G302" s="54" t="s">
        <v>22</v>
      </c>
      <c r="H302" s="54" t="s">
        <v>19</v>
      </c>
      <c r="I302" s="54" t="s">
        <v>24</v>
      </c>
      <c r="J302" s="54" t="s">
        <v>18</v>
      </c>
      <c r="K302" s="54" t="s">
        <v>18</v>
      </c>
      <c r="L302" s="54" t="s">
        <v>20</v>
      </c>
      <c r="M302" s="54" t="s">
        <v>19</v>
      </c>
      <c r="N302" s="54" t="s">
        <v>18</v>
      </c>
      <c r="O302" s="54" t="s">
        <v>24</v>
      </c>
      <c r="P302" s="54" t="s">
        <v>22</v>
      </c>
      <c r="Q302" s="54" t="s">
        <v>45</v>
      </c>
      <c r="R302" s="150"/>
      <c r="S302" s="63" t="s">
        <v>0</v>
      </c>
      <c r="T302" s="1">
        <v>203.4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59">
        <f t="shared" si="101"/>
        <v>203.4</v>
      </c>
      <c r="AB302" s="58">
        <v>2018</v>
      </c>
      <c r="AC302" s="9"/>
      <c r="AD302" s="101"/>
      <c r="AE302" s="101"/>
    </row>
    <row r="303" spans="1:31" ht="15.6" hidden="1" customHeight="1" x14ac:dyDescent="0.25">
      <c r="A303" s="54" t="s">
        <v>18</v>
      </c>
      <c r="B303" s="54" t="s">
        <v>18</v>
      </c>
      <c r="C303" s="54" t="s">
        <v>24</v>
      </c>
      <c r="D303" s="54" t="s">
        <v>18</v>
      </c>
      <c r="E303" s="54" t="s">
        <v>21</v>
      </c>
      <c r="F303" s="54" t="s">
        <v>18</v>
      </c>
      <c r="G303" s="54" t="s">
        <v>22</v>
      </c>
      <c r="H303" s="54" t="s">
        <v>19</v>
      </c>
      <c r="I303" s="54" t="s">
        <v>24</v>
      </c>
      <c r="J303" s="54" t="s">
        <v>18</v>
      </c>
      <c r="K303" s="54" t="s">
        <v>18</v>
      </c>
      <c r="L303" s="54" t="s">
        <v>20</v>
      </c>
      <c r="M303" s="54" t="s">
        <v>37</v>
      </c>
      <c r="N303" s="54" t="s">
        <v>18</v>
      </c>
      <c r="O303" s="54" t="s">
        <v>24</v>
      </c>
      <c r="P303" s="54" t="s">
        <v>22</v>
      </c>
      <c r="Q303" s="54" t="s">
        <v>46</v>
      </c>
      <c r="R303" s="150"/>
      <c r="S303" s="63" t="s">
        <v>0</v>
      </c>
      <c r="T303" s="1">
        <v>50.9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59">
        <f t="shared" si="101"/>
        <v>50.9</v>
      </c>
      <c r="AB303" s="58">
        <v>2018</v>
      </c>
      <c r="AC303" s="9"/>
      <c r="AD303" s="101"/>
      <c r="AE303" s="101"/>
    </row>
    <row r="304" spans="1:31" ht="15.6" hidden="1" customHeight="1" x14ac:dyDescent="0.25">
      <c r="A304" s="54" t="s">
        <v>18</v>
      </c>
      <c r="B304" s="54" t="s">
        <v>18</v>
      </c>
      <c r="C304" s="54" t="s">
        <v>24</v>
      </c>
      <c r="D304" s="54" t="s">
        <v>18</v>
      </c>
      <c r="E304" s="54" t="s">
        <v>21</v>
      </c>
      <c r="F304" s="54" t="s">
        <v>18</v>
      </c>
      <c r="G304" s="54" t="s">
        <v>22</v>
      </c>
      <c r="H304" s="54" t="s">
        <v>19</v>
      </c>
      <c r="I304" s="54" t="s">
        <v>24</v>
      </c>
      <c r="J304" s="54" t="s">
        <v>18</v>
      </c>
      <c r="K304" s="54" t="s">
        <v>18</v>
      </c>
      <c r="L304" s="54" t="s">
        <v>20</v>
      </c>
      <c r="M304" s="54" t="s">
        <v>37</v>
      </c>
      <c r="N304" s="54" t="s">
        <v>18</v>
      </c>
      <c r="O304" s="54" t="s">
        <v>24</v>
      </c>
      <c r="P304" s="54" t="s">
        <v>22</v>
      </c>
      <c r="Q304" s="54" t="s">
        <v>39</v>
      </c>
      <c r="R304" s="150"/>
      <c r="S304" s="63" t="s">
        <v>0</v>
      </c>
      <c r="T304" s="1">
        <v>254.2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59">
        <f t="shared" si="101"/>
        <v>254.2</v>
      </c>
      <c r="AB304" s="58">
        <v>2018</v>
      </c>
      <c r="AC304" s="9"/>
      <c r="AD304" s="101"/>
      <c r="AE304" s="101"/>
    </row>
    <row r="305" spans="1:31" ht="31.15" hidden="1" customHeight="1" x14ac:dyDescent="0.2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80" t="s">
        <v>212</v>
      </c>
      <c r="S305" s="84" t="s">
        <v>176</v>
      </c>
      <c r="T305" s="3">
        <v>88.3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6">
        <f t="shared" si="101"/>
        <v>88.3</v>
      </c>
      <c r="AB305" s="41">
        <v>2018</v>
      </c>
      <c r="AC305" s="9"/>
      <c r="AD305" s="101"/>
      <c r="AE305" s="101"/>
    </row>
    <row r="306" spans="1:31" ht="15.6" customHeight="1" x14ac:dyDescent="0.25">
      <c r="A306" s="54" t="s">
        <v>18</v>
      </c>
      <c r="B306" s="54" t="s">
        <v>18</v>
      </c>
      <c r="C306" s="54" t="s">
        <v>21</v>
      </c>
      <c r="D306" s="54" t="s">
        <v>18</v>
      </c>
      <c r="E306" s="54" t="s">
        <v>18</v>
      </c>
      <c r="F306" s="54" t="s">
        <v>18</v>
      </c>
      <c r="G306" s="54" t="s">
        <v>18</v>
      </c>
      <c r="H306" s="54" t="s">
        <v>19</v>
      </c>
      <c r="I306" s="54" t="s">
        <v>24</v>
      </c>
      <c r="J306" s="54" t="s">
        <v>18</v>
      </c>
      <c r="K306" s="54" t="s">
        <v>18</v>
      </c>
      <c r="L306" s="54" t="s">
        <v>20</v>
      </c>
      <c r="M306" s="54" t="s">
        <v>18</v>
      </c>
      <c r="N306" s="54" t="s">
        <v>18</v>
      </c>
      <c r="O306" s="54" t="s">
        <v>18</v>
      </c>
      <c r="P306" s="54" t="s">
        <v>18</v>
      </c>
      <c r="Q306" s="54" t="s">
        <v>18</v>
      </c>
      <c r="R306" s="150" t="s">
        <v>140</v>
      </c>
      <c r="S306" s="63" t="s">
        <v>0</v>
      </c>
      <c r="T306" s="59">
        <f>SUM(T307:T310)</f>
        <v>8990.0999999999985</v>
      </c>
      <c r="U306" s="59">
        <f>SUM(U307:U313)</f>
        <v>8489.7000000000007</v>
      </c>
      <c r="V306" s="59">
        <v>0</v>
      </c>
      <c r="W306" s="59">
        <v>0</v>
      </c>
      <c r="X306" s="59">
        <v>0</v>
      </c>
      <c r="Y306" s="59">
        <v>0</v>
      </c>
      <c r="Z306" s="59">
        <v>0</v>
      </c>
      <c r="AA306" s="59">
        <f t="shared" si="101"/>
        <v>17479.8</v>
      </c>
      <c r="AB306" s="58">
        <v>2019</v>
      </c>
      <c r="AC306" s="124"/>
      <c r="AD306" s="101"/>
      <c r="AE306" s="101"/>
    </row>
    <row r="307" spans="1:31" x14ac:dyDescent="0.25">
      <c r="A307" s="54" t="s">
        <v>18</v>
      </c>
      <c r="B307" s="54" t="s">
        <v>18</v>
      </c>
      <c r="C307" s="54" t="s">
        <v>21</v>
      </c>
      <c r="D307" s="54" t="s">
        <v>18</v>
      </c>
      <c r="E307" s="54" t="s">
        <v>18</v>
      </c>
      <c r="F307" s="54" t="s">
        <v>18</v>
      </c>
      <c r="G307" s="54" t="s">
        <v>18</v>
      </c>
      <c r="H307" s="54" t="s">
        <v>19</v>
      </c>
      <c r="I307" s="54" t="s">
        <v>24</v>
      </c>
      <c r="J307" s="54" t="s">
        <v>18</v>
      </c>
      <c r="K307" s="54" t="s">
        <v>18</v>
      </c>
      <c r="L307" s="54" t="s">
        <v>20</v>
      </c>
      <c r="M307" s="54" t="s">
        <v>19</v>
      </c>
      <c r="N307" s="54" t="s">
        <v>18</v>
      </c>
      <c r="O307" s="54" t="s">
        <v>24</v>
      </c>
      <c r="P307" s="54" t="s">
        <v>22</v>
      </c>
      <c r="Q307" s="54" t="s">
        <v>45</v>
      </c>
      <c r="R307" s="150"/>
      <c r="S307" s="63" t="s">
        <v>0</v>
      </c>
      <c r="T307" s="1">
        <f>T317+T323+T330+T337+T344+T351+T358+T365+T372+T379+T385+T391</f>
        <v>3538.9999999999995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59">
        <f t="shared" si="101"/>
        <v>3538.9999999999995</v>
      </c>
      <c r="AB307" s="58">
        <v>2018</v>
      </c>
      <c r="AC307" s="124"/>
      <c r="AD307" s="101"/>
      <c r="AE307" s="101"/>
    </row>
    <row r="308" spans="1:31" x14ac:dyDescent="0.25">
      <c r="A308" s="54" t="s">
        <v>18</v>
      </c>
      <c r="B308" s="54" t="s">
        <v>18</v>
      </c>
      <c r="C308" s="54" t="s">
        <v>21</v>
      </c>
      <c r="D308" s="54" t="s">
        <v>18</v>
      </c>
      <c r="E308" s="54" t="s">
        <v>18</v>
      </c>
      <c r="F308" s="54" t="s">
        <v>18</v>
      </c>
      <c r="G308" s="54" t="s">
        <v>18</v>
      </c>
      <c r="H308" s="54" t="s">
        <v>19</v>
      </c>
      <c r="I308" s="54" t="s">
        <v>24</v>
      </c>
      <c r="J308" s="54" t="s">
        <v>18</v>
      </c>
      <c r="K308" s="54" t="s">
        <v>18</v>
      </c>
      <c r="L308" s="54" t="s">
        <v>20</v>
      </c>
      <c r="M308" s="54" t="s">
        <v>19</v>
      </c>
      <c r="N308" s="54" t="s">
        <v>18</v>
      </c>
      <c r="O308" s="54" t="s">
        <v>43</v>
      </c>
      <c r="P308" s="54" t="s">
        <v>22</v>
      </c>
      <c r="Q308" s="54" t="s">
        <v>178</v>
      </c>
      <c r="R308" s="150"/>
      <c r="S308" s="63" t="s">
        <v>0</v>
      </c>
      <c r="T308" s="1">
        <v>339.9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59">
        <f t="shared" si="101"/>
        <v>339.9</v>
      </c>
      <c r="AB308" s="58">
        <v>2018</v>
      </c>
      <c r="AC308" s="124"/>
      <c r="AD308" s="101"/>
      <c r="AE308" s="101"/>
    </row>
    <row r="309" spans="1:31" x14ac:dyDescent="0.25">
      <c r="A309" s="54" t="s">
        <v>18</v>
      </c>
      <c r="B309" s="54" t="s">
        <v>18</v>
      </c>
      <c r="C309" s="54" t="s">
        <v>21</v>
      </c>
      <c r="D309" s="54" t="s">
        <v>18</v>
      </c>
      <c r="E309" s="54" t="s">
        <v>18</v>
      </c>
      <c r="F309" s="54" t="s">
        <v>18</v>
      </c>
      <c r="G309" s="54" t="s">
        <v>18</v>
      </c>
      <c r="H309" s="54" t="s">
        <v>19</v>
      </c>
      <c r="I309" s="54" t="s">
        <v>24</v>
      </c>
      <c r="J309" s="54" t="s">
        <v>18</v>
      </c>
      <c r="K309" s="54" t="s">
        <v>18</v>
      </c>
      <c r="L309" s="54" t="s">
        <v>20</v>
      </c>
      <c r="M309" s="54" t="s">
        <v>37</v>
      </c>
      <c r="N309" s="54" t="s">
        <v>18</v>
      </c>
      <c r="O309" s="54" t="s">
        <v>24</v>
      </c>
      <c r="P309" s="54" t="s">
        <v>22</v>
      </c>
      <c r="Q309" s="54" t="s">
        <v>46</v>
      </c>
      <c r="R309" s="150"/>
      <c r="S309" s="63" t="s">
        <v>0</v>
      </c>
      <c r="T309" s="1">
        <f>T318+T319+T325+T326+T332+T333+T339+T340+T346+T347+T353+T354+T360+T361+T367+T368+T374+T375+T381+T387+T394+T393</f>
        <v>1913.5</v>
      </c>
      <c r="U309" s="1">
        <v>1308.8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59">
        <f t="shared" si="101"/>
        <v>3222.3</v>
      </c>
      <c r="AB309" s="58">
        <v>2019</v>
      </c>
      <c r="AC309" s="124"/>
      <c r="AD309" s="101"/>
      <c r="AE309" s="101"/>
    </row>
    <row r="310" spans="1:31" x14ac:dyDescent="0.25">
      <c r="A310" s="54" t="s">
        <v>18</v>
      </c>
      <c r="B310" s="54" t="s">
        <v>18</v>
      </c>
      <c r="C310" s="54" t="s">
        <v>21</v>
      </c>
      <c r="D310" s="54" t="s">
        <v>18</v>
      </c>
      <c r="E310" s="54" t="s">
        <v>18</v>
      </c>
      <c r="F310" s="54" t="s">
        <v>18</v>
      </c>
      <c r="G310" s="54" t="s">
        <v>18</v>
      </c>
      <c r="H310" s="54" t="s">
        <v>19</v>
      </c>
      <c r="I310" s="54" t="s">
        <v>24</v>
      </c>
      <c r="J310" s="54" t="s">
        <v>18</v>
      </c>
      <c r="K310" s="54" t="s">
        <v>18</v>
      </c>
      <c r="L310" s="54" t="s">
        <v>20</v>
      </c>
      <c r="M310" s="54" t="s">
        <v>37</v>
      </c>
      <c r="N310" s="54" t="s">
        <v>18</v>
      </c>
      <c r="O310" s="54" t="s">
        <v>24</v>
      </c>
      <c r="P310" s="54" t="s">
        <v>22</v>
      </c>
      <c r="Q310" s="54" t="s">
        <v>39</v>
      </c>
      <c r="R310" s="150"/>
      <c r="S310" s="63" t="s">
        <v>0</v>
      </c>
      <c r="T310" s="1">
        <v>3197.7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59">
        <f t="shared" si="101"/>
        <v>3197.7</v>
      </c>
      <c r="AB310" s="58">
        <v>2018</v>
      </c>
      <c r="AC310" s="124"/>
      <c r="AD310" s="101"/>
      <c r="AE310" s="101"/>
    </row>
    <row r="311" spans="1:31" x14ac:dyDescent="0.25">
      <c r="A311" s="54" t="s">
        <v>18</v>
      </c>
      <c r="B311" s="54" t="s">
        <v>18</v>
      </c>
      <c r="C311" s="54" t="s">
        <v>21</v>
      </c>
      <c r="D311" s="54" t="s">
        <v>18</v>
      </c>
      <c r="E311" s="54" t="s">
        <v>18</v>
      </c>
      <c r="F311" s="54" t="s">
        <v>18</v>
      </c>
      <c r="G311" s="54" t="s">
        <v>18</v>
      </c>
      <c r="H311" s="54" t="s">
        <v>19</v>
      </c>
      <c r="I311" s="54" t="s">
        <v>24</v>
      </c>
      <c r="J311" s="54" t="s">
        <v>18</v>
      </c>
      <c r="K311" s="54" t="s">
        <v>18</v>
      </c>
      <c r="L311" s="54" t="s">
        <v>20</v>
      </c>
      <c r="M311" s="54" t="s">
        <v>19</v>
      </c>
      <c r="N311" s="54" t="s">
        <v>18</v>
      </c>
      <c r="O311" s="54" t="s">
        <v>24</v>
      </c>
      <c r="P311" s="54" t="s">
        <v>22</v>
      </c>
      <c r="Q311" s="54" t="s">
        <v>18</v>
      </c>
      <c r="R311" s="150"/>
      <c r="S311" s="63" t="s">
        <v>0</v>
      </c>
      <c r="T311" s="1">
        <v>0</v>
      </c>
      <c r="U311" s="1">
        <f>4114.8-123.3</f>
        <v>3991.5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59">
        <f t="shared" si="101"/>
        <v>3991.5</v>
      </c>
      <c r="AB311" s="58">
        <v>2019</v>
      </c>
      <c r="AC311" s="124"/>
      <c r="AD311" s="101"/>
      <c r="AE311" s="101"/>
    </row>
    <row r="312" spans="1:31" x14ac:dyDescent="0.25">
      <c r="A312" s="54" t="s">
        <v>18</v>
      </c>
      <c r="B312" s="54" t="s">
        <v>18</v>
      </c>
      <c r="C312" s="54" t="s">
        <v>21</v>
      </c>
      <c r="D312" s="54" t="s">
        <v>18</v>
      </c>
      <c r="E312" s="54" t="s">
        <v>18</v>
      </c>
      <c r="F312" s="54" t="s">
        <v>18</v>
      </c>
      <c r="G312" s="54" t="s">
        <v>18</v>
      </c>
      <c r="H312" s="54" t="s">
        <v>19</v>
      </c>
      <c r="I312" s="54" t="s">
        <v>24</v>
      </c>
      <c r="J312" s="54" t="s">
        <v>18</v>
      </c>
      <c r="K312" s="54" t="s">
        <v>18</v>
      </c>
      <c r="L312" s="54" t="s">
        <v>20</v>
      </c>
      <c r="M312" s="54" t="s">
        <v>37</v>
      </c>
      <c r="N312" s="54" t="s">
        <v>18</v>
      </c>
      <c r="O312" s="54" t="s">
        <v>24</v>
      </c>
      <c r="P312" s="54" t="s">
        <v>22</v>
      </c>
      <c r="Q312" s="54" t="s">
        <v>18</v>
      </c>
      <c r="R312" s="150"/>
      <c r="S312" s="63" t="s">
        <v>0</v>
      </c>
      <c r="T312" s="1">
        <v>0</v>
      </c>
      <c r="U312" s="1">
        <f>3035.2-53.3</f>
        <v>2981.8999999999996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59">
        <f t="shared" ref="AA312" si="102">SUM(T312:Y312)</f>
        <v>2981.8999999999996</v>
      </c>
      <c r="AB312" s="58">
        <v>2019</v>
      </c>
      <c r="AC312" s="124"/>
      <c r="AD312" s="101"/>
      <c r="AE312" s="101"/>
    </row>
    <row r="313" spans="1:31" x14ac:dyDescent="0.25">
      <c r="A313" s="54" t="s">
        <v>18</v>
      </c>
      <c r="B313" s="54" t="s">
        <v>18</v>
      </c>
      <c r="C313" s="54" t="s">
        <v>21</v>
      </c>
      <c r="D313" s="54" t="s">
        <v>18</v>
      </c>
      <c r="E313" s="54" t="s">
        <v>18</v>
      </c>
      <c r="F313" s="54" t="s">
        <v>18</v>
      </c>
      <c r="G313" s="54" t="s">
        <v>18</v>
      </c>
      <c r="H313" s="54" t="s">
        <v>19</v>
      </c>
      <c r="I313" s="54" t="s">
        <v>24</v>
      </c>
      <c r="J313" s="54" t="s">
        <v>18</v>
      </c>
      <c r="K313" s="54" t="s">
        <v>18</v>
      </c>
      <c r="L313" s="54" t="s">
        <v>20</v>
      </c>
      <c r="M313" s="54" t="s">
        <v>19</v>
      </c>
      <c r="N313" s="54" t="s">
        <v>18</v>
      </c>
      <c r="O313" s="54" t="s">
        <v>43</v>
      </c>
      <c r="P313" s="54" t="s">
        <v>22</v>
      </c>
      <c r="Q313" s="54" t="s">
        <v>18</v>
      </c>
      <c r="R313" s="150"/>
      <c r="S313" s="63" t="s">
        <v>0</v>
      </c>
      <c r="T313" s="1">
        <v>0</v>
      </c>
      <c r="U313" s="1">
        <f>215-7.5</f>
        <v>207.5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59">
        <f t="shared" ref="AA313" si="103">SUM(T313:Y313)</f>
        <v>207.5</v>
      </c>
      <c r="AB313" s="58">
        <v>2019</v>
      </c>
      <c r="AC313" s="124"/>
      <c r="AD313" s="101"/>
      <c r="AE313" s="101"/>
    </row>
    <row r="314" spans="1:31" ht="49.9" customHeight="1" x14ac:dyDescent="0.25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80" t="s">
        <v>312</v>
      </c>
      <c r="S314" s="62" t="s">
        <v>52</v>
      </c>
      <c r="T314" s="3">
        <v>2.7</v>
      </c>
      <c r="U314" s="3">
        <v>1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6">
        <f t="shared" si="101"/>
        <v>3.7</v>
      </c>
      <c r="AB314" s="41">
        <v>2019</v>
      </c>
      <c r="AC314" s="9"/>
      <c r="AD314" s="101"/>
      <c r="AE314" s="101"/>
    </row>
    <row r="315" spans="1:31" ht="49.15" customHeight="1" x14ac:dyDescent="0.2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80" t="s">
        <v>313</v>
      </c>
      <c r="S315" s="84" t="s">
        <v>50</v>
      </c>
      <c r="T315" s="44">
        <v>11</v>
      </c>
      <c r="U315" s="44">
        <v>6</v>
      </c>
      <c r="V315" s="44">
        <v>0</v>
      </c>
      <c r="W315" s="44">
        <v>0</v>
      </c>
      <c r="X315" s="44">
        <v>0</v>
      </c>
      <c r="Y315" s="44">
        <v>0</v>
      </c>
      <c r="Z315" s="44">
        <v>0</v>
      </c>
      <c r="AA315" s="49">
        <f t="shared" si="101"/>
        <v>17</v>
      </c>
      <c r="AB315" s="41">
        <v>2019</v>
      </c>
      <c r="AC315" s="9"/>
      <c r="AD315" s="101"/>
      <c r="AE315" s="101"/>
    </row>
    <row r="316" spans="1:31" ht="15.6" hidden="1" customHeight="1" x14ac:dyDescent="0.25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150" t="s">
        <v>213</v>
      </c>
      <c r="S316" s="63" t="s">
        <v>0</v>
      </c>
      <c r="T316" s="1">
        <f>SUM(T317:T320)</f>
        <v>1027.7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59">
        <f t="shared" si="98"/>
        <v>1027.7</v>
      </c>
      <c r="AB316" s="58">
        <v>2018</v>
      </c>
      <c r="AC316" s="9"/>
      <c r="AD316" s="101"/>
      <c r="AE316" s="101"/>
    </row>
    <row r="317" spans="1:31" ht="15.6" hidden="1" customHeight="1" x14ac:dyDescent="0.25">
      <c r="A317" s="54" t="s">
        <v>18</v>
      </c>
      <c r="B317" s="54" t="s">
        <v>18</v>
      </c>
      <c r="C317" s="54" t="s">
        <v>21</v>
      </c>
      <c r="D317" s="54" t="s">
        <v>18</v>
      </c>
      <c r="E317" s="54" t="s">
        <v>21</v>
      </c>
      <c r="F317" s="54" t="s">
        <v>18</v>
      </c>
      <c r="G317" s="54" t="s">
        <v>22</v>
      </c>
      <c r="H317" s="54" t="s">
        <v>19</v>
      </c>
      <c r="I317" s="54" t="s">
        <v>24</v>
      </c>
      <c r="J317" s="54" t="s">
        <v>18</v>
      </c>
      <c r="K317" s="54" t="s">
        <v>18</v>
      </c>
      <c r="L317" s="54" t="s">
        <v>20</v>
      </c>
      <c r="M317" s="54" t="s">
        <v>19</v>
      </c>
      <c r="N317" s="54" t="s">
        <v>18</v>
      </c>
      <c r="O317" s="54" t="s">
        <v>24</v>
      </c>
      <c r="P317" s="54" t="s">
        <v>22</v>
      </c>
      <c r="Q317" s="54" t="s">
        <v>45</v>
      </c>
      <c r="R317" s="150"/>
      <c r="S317" s="63" t="s">
        <v>0</v>
      </c>
      <c r="T317" s="1">
        <v>400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59">
        <f t="shared" si="98"/>
        <v>400</v>
      </c>
      <c r="AB317" s="58">
        <v>2018</v>
      </c>
      <c r="AC317" s="9"/>
      <c r="AD317" s="101"/>
      <c r="AE317" s="101"/>
    </row>
    <row r="318" spans="1:31" ht="15.6" hidden="1" customHeight="1" x14ac:dyDescent="0.25">
      <c r="A318" s="54" t="s">
        <v>18</v>
      </c>
      <c r="B318" s="54" t="s">
        <v>18</v>
      </c>
      <c r="C318" s="54" t="s">
        <v>21</v>
      </c>
      <c r="D318" s="54" t="s">
        <v>18</v>
      </c>
      <c r="E318" s="54" t="s">
        <v>21</v>
      </c>
      <c r="F318" s="54" t="s">
        <v>18</v>
      </c>
      <c r="G318" s="54" t="s">
        <v>22</v>
      </c>
      <c r="H318" s="54" t="s">
        <v>19</v>
      </c>
      <c r="I318" s="54" t="s">
        <v>24</v>
      </c>
      <c r="J318" s="54" t="s">
        <v>18</v>
      </c>
      <c r="K318" s="54" t="s">
        <v>18</v>
      </c>
      <c r="L318" s="54" t="s">
        <v>20</v>
      </c>
      <c r="M318" s="54" t="s">
        <v>37</v>
      </c>
      <c r="N318" s="54" t="s">
        <v>18</v>
      </c>
      <c r="O318" s="54" t="s">
        <v>24</v>
      </c>
      <c r="P318" s="54" t="s">
        <v>22</v>
      </c>
      <c r="Q318" s="54" t="s">
        <v>46</v>
      </c>
      <c r="R318" s="150"/>
      <c r="S318" s="63" t="s">
        <v>0</v>
      </c>
      <c r="T318" s="1">
        <v>14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59">
        <f t="shared" si="98"/>
        <v>14</v>
      </c>
      <c r="AB318" s="58">
        <v>2018</v>
      </c>
      <c r="AC318" s="9"/>
      <c r="AD318" s="101"/>
      <c r="AE318" s="101"/>
    </row>
    <row r="319" spans="1:31" ht="15.6" hidden="1" customHeight="1" x14ac:dyDescent="0.25">
      <c r="A319" s="54" t="s">
        <v>18</v>
      </c>
      <c r="B319" s="54" t="s">
        <v>18</v>
      </c>
      <c r="C319" s="54" t="s">
        <v>21</v>
      </c>
      <c r="D319" s="54" t="s">
        <v>18</v>
      </c>
      <c r="E319" s="54" t="s">
        <v>21</v>
      </c>
      <c r="F319" s="54" t="s">
        <v>18</v>
      </c>
      <c r="G319" s="54" t="s">
        <v>22</v>
      </c>
      <c r="H319" s="54" t="s">
        <v>19</v>
      </c>
      <c r="I319" s="54" t="s">
        <v>24</v>
      </c>
      <c r="J319" s="54" t="s">
        <v>18</v>
      </c>
      <c r="K319" s="54" t="s">
        <v>18</v>
      </c>
      <c r="L319" s="54" t="s">
        <v>20</v>
      </c>
      <c r="M319" s="54" t="s">
        <v>37</v>
      </c>
      <c r="N319" s="54" t="s">
        <v>18</v>
      </c>
      <c r="O319" s="54" t="s">
        <v>24</v>
      </c>
      <c r="P319" s="54" t="s">
        <v>22</v>
      </c>
      <c r="Q319" s="54" t="s">
        <v>46</v>
      </c>
      <c r="R319" s="150"/>
      <c r="S319" s="63" t="s">
        <v>0</v>
      </c>
      <c r="T319" s="1">
        <v>157.4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59">
        <f t="shared" si="98"/>
        <v>157.4</v>
      </c>
      <c r="AB319" s="58">
        <v>2018</v>
      </c>
      <c r="AC319" s="9"/>
      <c r="AD319" s="101"/>
      <c r="AE319" s="101"/>
    </row>
    <row r="320" spans="1:31" ht="15.6" hidden="1" customHeight="1" x14ac:dyDescent="0.25">
      <c r="A320" s="54" t="s">
        <v>18</v>
      </c>
      <c r="B320" s="54" t="s">
        <v>18</v>
      </c>
      <c r="C320" s="54" t="s">
        <v>21</v>
      </c>
      <c r="D320" s="54" t="s">
        <v>18</v>
      </c>
      <c r="E320" s="54" t="s">
        <v>21</v>
      </c>
      <c r="F320" s="54" t="s">
        <v>18</v>
      </c>
      <c r="G320" s="54" t="s">
        <v>22</v>
      </c>
      <c r="H320" s="54" t="s">
        <v>19</v>
      </c>
      <c r="I320" s="54" t="s">
        <v>24</v>
      </c>
      <c r="J320" s="54" t="s">
        <v>18</v>
      </c>
      <c r="K320" s="54" t="s">
        <v>18</v>
      </c>
      <c r="L320" s="54" t="s">
        <v>20</v>
      </c>
      <c r="M320" s="54" t="s">
        <v>37</v>
      </c>
      <c r="N320" s="54" t="s">
        <v>18</v>
      </c>
      <c r="O320" s="54" t="s">
        <v>24</v>
      </c>
      <c r="P320" s="54" t="s">
        <v>22</v>
      </c>
      <c r="Q320" s="54" t="s">
        <v>39</v>
      </c>
      <c r="R320" s="150"/>
      <c r="S320" s="63" t="s">
        <v>0</v>
      </c>
      <c r="T320" s="1">
        <v>456.3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59">
        <f t="shared" si="98"/>
        <v>456.3</v>
      </c>
      <c r="AB320" s="58">
        <v>2018</v>
      </c>
      <c r="AC320" s="9"/>
      <c r="AD320" s="101"/>
      <c r="AE320" s="101"/>
    </row>
    <row r="321" spans="1:31" ht="51" hidden="1" customHeight="1" x14ac:dyDescent="0.25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80" t="s">
        <v>214</v>
      </c>
      <c r="S321" s="84" t="s">
        <v>175</v>
      </c>
      <c r="T321" s="3">
        <v>754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6">
        <f t="shared" si="98"/>
        <v>754</v>
      </c>
      <c r="AB321" s="41">
        <v>2018</v>
      </c>
      <c r="AC321" s="9"/>
      <c r="AD321" s="101"/>
      <c r="AE321" s="101"/>
    </row>
    <row r="322" spans="1:31" ht="16.149999999999999" hidden="1" customHeight="1" x14ac:dyDescent="0.25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150" t="s">
        <v>215</v>
      </c>
      <c r="S322" s="63" t="s">
        <v>0</v>
      </c>
      <c r="T322" s="1">
        <f>SUM(T323:T327)</f>
        <v>244.8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59">
        <f t="shared" si="98"/>
        <v>244.8</v>
      </c>
      <c r="AB322" s="58">
        <v>2018</v>
      </c>
      <c r="AC322" s="9"/>
      <c r="AD322" s="101"/>
      <c r="AE322" s="101"/>
    </row>
    <row r="323" spans="1:31" ht="16.149999999999999" hidden="1" customHeight="1" x14ac:dyDescent="0.25">
      <c r="A323" s="54" t="s">
        <v>18</v>
      </c>
      <c r="B323" s="54" t="s">
        <v>18</v>
      </c>
      <c r="C323" s="54" t="s">
        <v>21</v>
      </c>
      <c r="D323" s="54" t="s">
        <v>18</v>
      </c>
      <c r="E323" s="54" t="s">
        <v>21</v>
      </c>
      <c r="F323" s="54" t="s">
        <v>18</v>
      </c>
      <c r="G323" s="54" t="s">
        <v>22</v>
      </c>
      <c r="H323" s="54" t="s">
        <v>19</v>
      </c>
      <c r="I323" s="54" t="s">
        <v>24</v>
      </c>
      <c r="J323" s="54" t="s">
        <v>18</v>
      </c>
      <c r="K323" s="54" t="s">
        <v>18</v>
      </c>
      <c r="L323" s="54" t="s">
        <v>20</v>
      </c>
      <c r="M323" s="54" t="s">
        <v>19</v>
      </c>
      <c r="N323" s="54" t="s">
        <v>18</v>
      </c>
      <c r="O323" s="54" t="s">
        <v>24</v>
      </c>
      <c r="P323" s="54" t="s">
        <v>22</v>
      </c>
      <c r="Q323" s="54" t="s">
        <v>45</v>
      </c>
      <c r="R323" s="150"/>
      <c r="S323" s="63" t="s">
        <v>0</v>
      </c>
      <c r="T323" s="1">
        <v>97.9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59">
        <f t="shared" si="98"/>
        <v>97.9</v>
      </c>
      <c r="AB323" s="58">
        <v>2018</v>
      </c>
      <c r="AC323" s="9"/>
      <c r="AD323" s="101"/>
      <c r="AE323" s="101"/>
    </row>
    <row r="324" spans="1:31" ht="16.149999999999999" hidden="1" customHeight="1" x14ac:dyDescent="0.25">
      <c r="A324" s="54" t="s">
        <v>18</v>
      </c>
      <c r="B324" s="54" t="s">
        <v>18</v>
      </c>
      <c r="C324" s="54" t="s">
        <v>21</v>
      </c>
      <c r="D324" s="54" t="s">
        <v>18</v>
      </c>
      <c r="E324" s="54" t="s">
        <v>21</v>
      </c>
      <c r="F324" s="54" t="s">
        <v>18</v>
      </c>
      <c r="G324" s="54" t="s">
        <v>22</v>
      </c>
      <c r="H324" s="54" t="s">
        <v>19</v>
      </c>
      <c r="I324" s="54" t="s">
        <v>24</v>
      </c>
      <c r="J324" s="54" t="s">
        <v>18</v>
      </c>
      <c r="K324" s="54" t="s">
        <v>18</v>
      </c>
      <c r="L324" s="54" t="s">
        <v>20</v>
      </c>
      <c r="M324" s="54" t="s">
        <v>19</v>
      </c>
      <c r="N324" s="54" t="s">
        <v>18</v>
      </c>
      <c r="O324" s="54" t="s">
        <v>43</v>
      </c>
      <c r="P324" s="54" t="s">
        <v>22</v>
      </c>
      <c r="Q324" s="54" t="s">
        <v>178</v>
      </c>
      <c r="R324" s="150"/>
      <c r="S324" s="63" t="s">
        <v>0</v>
      </c>
      <c r="T324" s="1">
        <v>15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59">
        <f t="shared" si="98"/>
        <v>15</v>
      </c>
      <c r="AB324" s="58">
        <v>2018</v>
      </c>
      <c r="AC324" s="9"/>
      <c r="AD324" s="101"/>
      <c r="AE324" s="101"/>
    </row>
    <row r="325" spans="1:31" ht="16.149999999999999" hidden="1" customHeight="1" x14ac:dyDescent="0.25">
      <c r="A325" s="54" t="s">
        <v>18</v>
      </c>
      <c r="B325" s="54" t="s">
        <v>18</v>
      </c>
      <c r="C325" s="54" t="s">
        <v>21</v>
      </c>
      <c r="D325" s="54" t="s">
        <v>18</v>
      </c>
      <c r="E325" s="54" t="s">
        <v>21</v>
      </c>
      <c r="F325" s="54" t="s">
        <v>18</v>
      </c>
      <c r="G325" s="54" t="s">
        <v>22</v>
      </c>
      <c r="H325" s="54" t="s">
        <v>19</v>
      </c>
      <c r="I325" s="54" t="s">
        <v>24</v>
      </c>
      <c r="J325" s="54" t="s">
        <v>18</v>
      </c>
      <c r="K325" s="54" t="s">
        <v>18</v>
      </c>
      <c r="L325" s="54" t="s">
        <v>20</v>
      </c>
      <c r="M325" s="54" t="s">
        <v>37</v>
      </c>
      <c r="N325" s="54" t="s">
        <v>18</v>
      </c>
      <c r="O325" s="54" t="s">
        <v>24</v>
      </c>
      <c r="P325" s="54" t="s">
        <v>22</v>
      </c>
      <c r="Q325" s="54" t="s">
        <v>46</v>
      </c>
      <c r="R325" s="150"/>
      <c r="S325" s="63" t="s">
        <v>0</v>
      </c>
      <c r="T325" s="1">
        <v>4.9000000000000004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59">
        <f t="shared" si="98"/>
        <v>4.9000000000000004</v>
      </c>
      <c r="AB325" s="58">
        <v>2018</v>
      </c>
      <c r="AC325" s="9"/>
      <c r="AD325" s="101"/>
      <c r="AE325" s="101"/>
    </row>
    <row r="326" spans="1:31" ht="16.149999999999999" hidden="1" customHeight="1" x14ac:dyDescent="0.25">
      <c r="A326" s="54" t="s">
        <v>18</v>
      </c>
      <c r="B326" s="54" t="s">
        <v>18</v>
      </c>
      <c r="C326" s="54" t="s">
        <v>21</v>
      </c>
      <c r="D326" s="54" t="s">
        <v>18</v>
      </c>
      <c r="E326" s="54" t="s">
        <v>21</v>
      </c>
      <c r="F326" s="54" t="s">
        <v>18</v>
      </c>
      <c r="G326" s="54" t="s">
        <v>22</v>
      </c>
      <c r="H326" s="54" t="s">
        <v>19</v>
      </c>
      <c r="I326" s="54" t="s">
        <v>24</v>
      </c>
      <c r="J326" s="54" t="s">
        <v>18</v>
      </c>
      <c r="K326" s="54" t="s">
        <v>18</v>
      </c>
      <c r="L326" s="54" t="s">
        <v>20</v>
      </c>
      <c r="M326" s="54" t="s">
        <v>37</v>
      </c>
      <c r="N326" s="54" t="s">
        <v>18</v>
      </c>
      <c r="O326" s="54" t="s">
        <v>24</v>
      </c>
      <c r="P326" s="54" t="s">
        <v>22</v>
      </c>
      <c r="Q326" s="54" t="s">
        <v>46</v>
      </c>
      <c r="R326" s="150"/>
      <c r="S326" s="63" t="s">
        <v>0</v>
      </c>
      <c r="T326" s="1">
        <v>36.700000000000003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59">
        <f t="shared" si="98"/>
        <v>36.700000000000003</v>
      </c>
      <c r="AB326" s="58">
        <v>2018</v>
      </c>
      <c r="AC326" s="9"/>
      <c r="AD326" s="101"/>
      <c r="AE326" s="101"/>
    </row>
    <row r="327" spans="1:31" ht="16.149999999999999" hidden="1" customHeight="1" x14ac:dyDescent="0.25">
      <c r="A327" s="54" t="s">
        <v>18</v>
      </c>
      <c r="B327" s="54" t="s">
        <v>18</v>
      </c>
      <c r="C327" s="54" t="s">
        <v>21</v>
      </c>
      <c r="D327" s="54" t="s">
        <v>18</v>
      </c>
      <c r="E327" s="54" t="s">
        <v>21</v>
      </c>
      <c r="F327" s="54" t="s">
        <v>18</v>
      </c>
      <c r="G327" s="54" t="s">
        <v>22</v>
      </c>
      <c r="H327" s="54" t="s">
        <v>19</v>
      </c>
      <c r="I327" s="54" t="s">
        <v>24</v>
      </c>
      <c r="J327" s="54" t="s">
        <v>18</v>
      </c>
      <c r="K327" s="54" t="s">
        <v>18</v>
      </c>
      <c r="L327" s="54" t="s">
        <v>20</v>
      </c>
      <c r="M327" s="54" t="s">
        <v>37</v>
      </c>
      <c r="N327" s="54" t="s">
        <v>18</v>
      </c>
      <c r="O327" s="54" t="s">
        <v>24</v>
      </c>
      <c r="P327" s="54" t="s">
        <v>22</v>
      </c>
      <c r="Q327" s="54" t="s">
        <v>39</v>
      </c>
      <c r="R327" s="150"/>
      <c r="S327" s="63" t="s">
        <v>0</v>
      </c>
      <c r="T327" s="1">
        <v>90.3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59">
        <f t="shared" si="98"/>
        <v>90.3</v>
      </c>
      <c r="AB327" s="58">
        <v>2018</v>
      </c>
      <c r="AC327" s="9"/>
      <c r="AD327" s="101"/>
      <c r="AE327" s="101"/>
    </row>
    <row r="328" spans="1:31" ht="52.15" hidden="1" customHeight="1" x14ac:dyDescent="0.25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80" t="s">
        <v>216</v>
      </c>
      <c r="S328" s="84" t="s">
        <v>50</v>
      </c>
      <c r="T328" s="44">
        <v>10</v>
      </c>
      <c r="U328" s="44">
        <v>0</v>
      </c>
      <c r="V328" s="44">
        <v>0</v>
      </c>
      <c r="W328" s="44">
        <v>0</v>
      </c>
      <c r="X328" s="44">
        <v>0</v>
      </c>
      <c r="Y328" s="44">
        <v>0</v>
      </c>
      <c r="Z328" s="44">
        <v>0</v>
      </c>
      <c r="AA328" s="49">
        <f t="shared" si="98"/>
        <v>10</v>
      </c>
      <c r="AB328" s="41">
        <v>2018</v>
      </c>
      <c r="AC328" s="9"/>
      <c r="AD328" s="101"/>
      <c r="AE328" s="101"/>
    </row>
    <row r="329" spans="1:31" ht="16.350000000000001" hidden="1" customHeight="1" x14ac:dyDescent="0.25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150" t="s">
        <v>217</v>
      </c>
      <c r="S329" s="63" t="s">
        <v>0</v>
      </c>
      <c r="T329" s="1">
        <f>SUM(T330:T334)</f>
        <v>686.4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59">
        <f t="shared" ref="AA329:AA396" si="104">SUM(T329:Y329)</f>
        <v>686.4</v>
      </c>
      <c r="AB329" s="58">
        <v>2018</v>
      </c>
      <c r="AC329" s="9"/>
      <c r="AD329" s="101"/>
      <c r="AE329" s="101"/>
    </row>
    <row r="330" spans="1:31" ht="16.350000000000001" hidden="1" customHeight="1" x14ac:dyDescent="0.25">
      <c r="A330" s="54" t="s">
        <v>18</v>
      </c>
      <c r="B330" s="54" t="s">
        <v>18</v>
      </c>
      <c r="C330" s="54" t="s">
        <v>21</v>
      </c>
      <c r="D330" s="54" t="s">
        <v>18</v>
      </c>
      <c r="E330" s="54" t="s">
        <v>24</v>
      </c>
      <c r="F330" s="54" t="s">
        <v>18</v>
      </c>
      <c r="G330" s="54" t="s">
        <v>43</v>
      </c>
      <c r="H330" s="54" t="s">
        <v>19</v>
      </c>
      <c r="I330" s="54" t="s">
        <v>24</v>
      </c>
      <c r="J330" s="54" t="s">
        <v>18</v>
      </c>
      <c r="K330" s="54" t="s">
        <v>18</v>
      </c>
      <c r="L330" s="54" t="s">
        <v>20</v>
      </c>
      <c r="M330" s="54" t="s">
        <v>19</v>
      </c>
      <c r="N330" s="54" t="s">
        <v>18</v>
      </c>
      <c r="O330" s="54" t="s">
        <v>24</v>
      </c>
      <c r="P330" s="54" t="s">
        <v>22</v>
      </c>
      <c r="Q330" s="54" t="s">
        <v>45</v>
      </c>
      <c r="R330" s="150"/>
      <c r="S330" s="63" t="s">
        <v>0</v>
      </c>
      <c r="T330" s="1">
        <v>272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59">
        <f t="shared" si="104"/>
        <v>272</v>
      </c>
      <c r="AB330" s="58">
        <v>2018</v>
      </c>
      <c r="AC330" s="9"/>
      <c r="AD330" s="101"/>
      <c r="AE330" s="101"/>
    </row>
    <row r="331" spans="1:31" ht="16.350000000000001" hidden="1" customHeight="1" x14ac:dyDescent="0.25">
      <c r="A331" s="54" t="s">
        <v>18</v>
      </c>
      <c r="B331" s="54" t="s">
        <v>18</v>
      </c>
      <c r="C331" s="54" t="s">
        <v>21</v>
      </c>
      <c r="D331" s="54" t="s">
        <v>18</v>
      </c>
      <c r="E331" s="54" t="s">
        <v>24</v>
      </c>
      <c r="F331" s="54" t="s">
        <v>18</v>
      </c>
      <c r="G331" s="54" t="s">
        <v>43</v>
      </c>
      <c r="H331" s="54" t="s">
        <v>19</v>
      </c>
      <c r="I331" s="54" t="s">
        <v>24</v>
      </c>
      <c r="J331" s="54" t="s">
        <v>18</v>
      </c>
      <c r="K331" s="54" t="s">
        <v>18</v>
      </c>
      <c r="L331" s="54" t="s">
        <v>20</v>
      </c>
      <c r="M331" s="54" t="s">
        <v>19</v>
      </c>
      <c r="N331" s="54" t="s">
        <v>18</v>
      </c>
      <c r="O331" s="54" t="s">
        <v>43</v>
      </c>
      <c r="P331" s="54" t="s">
        <v>22</v>
      </c>
      <c r="Q331" s="54" t="s">
        <v>178</v>
      </c>
      <c r="R331" s="150"/>
      <c r="S331" s="63" t="s">
        <v>0</v>
      </c>
      <c r="T331" s="1">
        <v>30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59">
        <f t="shared" si="104"/>
        <v>30</v>
      </c>
      <c r="AB331" s="58">
        <v>2018</v>
      </c>
      <c r="AC331" s="9"/>
      <c r="AD331" s="101"/>
      <c r="AE331" s="101"/>
    </row>
    <row r="332" spans="1:31" ht="16.350000000000001" hidden="1" customHeight="1" x14ac:dyDescent="0.25">
      <c r="A332" s="54" t="s">
        <v>18</v>
      </c>
      <c r="B332" s="54" t="s">
        <v>18</v>
      </c>
      <c r="C332" s="54" t="s">
        <v>21</v>
      </c>
      <c r="D332" s="54" t="s">
        <v>18</v>
      </c>
      <c r="E332" s="54" t="s">
        <v>24</v>
      </c>
      <c r="F332" s="54" t="s">
        <v>18</v>
      </c>
      <c r="G332" s="54" t="s">
        <v>43</v>
      </c>
      <c r="H332" s="54" t="s">
        <v>19</v>
      </c>
      <c r="I332" s="54" t="s">
        <v>24</v>
      </c>
      <c r="J332" s="54" t="s">
        <v>18</v>
      </c>
      <c r="K332" s="54" t="s">
        <v>18</v>
      </c>
      <c r="L332" s="54" t="s">
        <v>20</v>
      </c>
      <c r="M332" s="54" t="s">
        <v>37</v>
      </c>
      <c r="N332" s="54" t="s">
        <v>18</v>
      </c>
      <c r="O332" s="54" t="s">
        <v>24</v>
      </c>
      <c r="P332" s="54" t="s">
        <v>22</v>
      </c>
      <c r="Q332" s="54" t="s">
        <v>46</v>
      </c>
      <c r="R332" s="150"/>
      <c r="S332" s="63" t="s">
        <v>0</v>
      </c>
      <c r="T332" s="1">
        <v>47.3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59">
        <f t="shared" si="104"/>
        <v>47.3</v>
      </c>
      <c r="AB332" s="58">
        <v>2018</v>
      </c>
      <c r="AC332" s="9"/>
      <c r="AD332" s="101"/>
      <c r="AE332" s="101"/>
    </row>
    <row r="333" spans="1:31" ht="16.350000000000001" hidden="1" customHeight="1" x14ac:dyDescent="0.25">
      <c r="A333" s="54" t="s">
        <v>18</v>
      </c>
      <c r="B333" s="54" t="s">
        <v>18</v>
      </c>
      <c r="C333" s="54" t="s">
        <v>21</v>
      </c>
      <c r="D333" s="54" t="s">
        <v>18</v>
      </c>
      <c r="E333" s="54" t="s">
        <v>24</v>
      </c>
      <c r="F333" s="54" t="s">
        <v>18</v>
      </c>
      <c r="G333" s="54" t="s">
        <v>43</v>
      </c>
      <c r="H333" s="54" t="s">
        <v>19</v>
      </c>
      <c r="I333" s="54" t="s">
        <v>24</v>
      </c>
      <c r="J333" s="54" t="s">
        <v>18</v>
      </c>
      <c r="K333" s="54" t="s">
        <v>18</v>
      </c>
      <c r="L333" s="54" t="s">
        <v>20</v>
      </c>
      <c r="M333" s="54" t="s">
        <v>37</v>
      </c>
      <c r="N333" s="54" t="s">
        <v>18</v>
      </c>
      <c r="O333" s="54" t="s">
        <v>24</v>
      </c>
      <c r="P333" s="54" t="s">
        <v>22</v>
      </c>
      <c r="Q333" s="54" t="s">
        <v>46</v>
      </c>
      <c r="R333" s="150"/>
      <c r="S333" s="63" t="s">
        <v>0</v>
      </c>
      <c r="T333" s="1">
        <v>68.599999999999994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59">
        <f t="shared" si="104"/>
        <v>68.599999999999994</v>
      </c>
      <c r="AB333" s="58">
        <v>2018</v>
      </c>
      <c r="AC333" s="9"/>
      <c r="AD333" s="101"/>
      <c r="AE333" s="101"/>
    </row>
    <row r="334" spans="1:31" ht="16.350000000000001" hidden="1" customHeight="1" x14ac:dyDescent="0.25">
      <c r="A334" s="54" t="s">
        <v>18</v>
      </c>
      <c r="B334" s="54" t="s">
        <v>18</v>
      </c>
      <c r="C334" s="54" t="s">
        <v>21</v>
      </c>
      <c r="D334" s="54" t="s">
        <v>18</v>
      </c>
      <c r="E334" s="54" t="s">
        <v>24</v>
      </c>
      <c r="F334" s="54" t="s">
        <v>18</v>
      </c>
      <c r="G334" s="54" t="s">
        <v>43</v>
      </c>
      <c r="H334" s="54" t="s">
        <v>19</v>
      </c>
      <c r="I334" s="54" t="s">
        <v>24</v>
      </c>
      <c r="J334" s="54" t="s">
        <v>18</v>
      </c>
      <c r="K334" s="54" t="s">
        <v>18</v>
      </c>
      <c r="L334" s="54" t="s">
        <v>20</v>
      </c>
      <c r="M334" s="54" t="s">
        <v>37</v>
      </c>
      <c r="N334" s="54" t="s">
        <v>18</v>
      </c>
      <c r="O334" s="54" t="s">
        <v>24</v>
      </c>
      <c r="P334" s="54" t="s">
        <v>22</v>
      </c>
      <c r="Q334" s="54" t="s">
        <v>39</v>
      </c>
      <c r="R334" s="150"/>
      <c r="S334" s="63" t="s">
        <v>0</v>
      </c>
      <c r="T334" s="1">
        <v>268.5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59">
        <f t="shared" si="104"/>
        <v>268.5</v>
      </c>
      <c r="AB334" s="58">
        <v>2018</v>
      </c>
      <c r="AC334" s="9"/>
      <c r="AD334" s="101"/>
      <c r="AE334" s="101"/>
    </row>
    <row r="335" spans="1:31" ht="53.45" hidden="1" customHeight="1" x14ac:dyDescent="0.2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78" t="s">
        <v>218</v>
      </c>
      <c r="S335" s="84" t="s">
        <v>175</v>
      </c>
      <c r="T335" s="3">
        <v>285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6">
        <f t="shared" si="104"/>
        <v>285</v>
      </c>
      <c r="AB335" s="41">
        <v>2018</v>
      </c>
      <c r="AC335" s="9"/>
      <c r="AD335" s="101"/>
      <c r="AE335" s="101"/>
    </row>
    <row r="336" spans="1:31" ht="16.350000000000001" hidden="1" customHeight="1" x14ac:dyDescent="0.25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150" t="s">
        <v>219</v>
      </c>
      <c r="S336" s="63" t="s">
        <v>0</v>
      </c>
      <c r="T336" s="1">
        <f>SUM(T337:T341)</f>
        <v>657.90000000000009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59">
        <f t="shared" si="104"/>
        <v>657.90000000000009</v>
      </c>
      <c r="AB336" s="58">
        <v>2018</v>
      </c>
      <c r="AC336" s="9"/>
      <c r="AD336" s="101"/>
      <c r="AE336" s="101"/>
    </row>
    <row r="337" spans="1:31" ht="16.350000000000001" hidden="1" customHeight="1" x14ac:dyDescent="0.25">
      <c r="A337" s="54" t="s">
        <v>18</v>
      </c>
      <c r="B337" s="54" t="s">
        <v>18</v>
      </c>
      <c r="C337" s="54" t="s">
        <v>21</v>
      </c>
      <c r="D337" s="54" t="s">
        <v>18</v>
      </c>
      <c r="E337" s="54" t="s">
        <v>21</v>
      </c>
      <c r="F337" s="54" t="s">
        <v>18</v>
      </c>
      <c r="G337" s="54" t="s">
        <v>22</v>
      </c>
      <c r="H337" s="54" t="s">
        <v>19</v>
      </c>
      <c r="I337" s="54" t="s">
        <v>24</v>
      </c>
      <c r="J337" s="54" t="s">
        <v>18</v>
      </c>
      <c r="K337" s="54" t="s">
        <v>18</v>
      </c>
      <c r="L337" s="54" t="s">
        <v>20</v>
      </c>
      <c r="M337" s="54" t="s">
        <v>19</v>
      </c>
      <c r="N337" s="54" t="s">
        <v>18</v>
      </c>
      <c r="O337" s="54" t="s">
        <v>24</v>
      </c>
      <c r="P337" s="54" t="s">
        <v>22</v>
      </c>
      <c r="Q337" s="54" t="s">
        <v>45</v>
      </c>
      <c r="R337" s="150"/>
      <c r="S337" s="63" t="s">
        <v>0</v>
      </c>
      <c r="T337" s="1">
        <v>263.10000000000002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59">
        <f t="shared" si="104"/>
        <v>263.10000000000002</v>
      </c>
      <c r="AB337" s="58">
        <v>2018</v>
      </c>
      <c r="AC337" s="9"/>
      <c r="AD337" s="101"/>
      <c r="AE337" s="101"/>
    </row>
    <row r="338" spans="1:31" ht="16.350000000000001" hidden="1" customHeight="1" x14ac:dyDescent="0.25">
      <c r="A338" s="54" t="s">
        <v>18</v>
      </c>
      <c r="B338" s="54" t="s">
        <v>18</v>
      </c>
      <c r="C338" s="54" t="s">
        <v>21</v>
      </c>
      <c r="D338" s="54" t="s">
        <v>18</v>
      </c>
      <c r="E338" s="54" t="s">
        <v>21</v>
      </c>
      <c r="F338" s="54" t="s">
        <v>18</v>
      </c>
      <c r="G338" s="54" t="s">
        <v>22</v>
      </c>
      <c r="H338" s="54" t="s">
        <v>19</v>
      </c>
      <c r="I338" s="54" t="s">
        <v>24</v>
      </c>
      <c r="J338" s="54" t="s">
        <v>18</v>
      </c>
      <c r="K338" s="54" t="s">
        <v>18</v>
      </c>
      <c r="L338" s="54" t="s">
        <v>20</v>
      </c>
      <c r="M338" s="54" t="s">
        <v>19</v>
      </c>
      <c r="N338" s="54" t="s">
        <v>18</v>
      </c>
      <c r="O338" s="54" t="s">
        <v>43</v>
      </c>
      <c r="P338" s="54" t="s">
        <v>22</v>
      </c>
      <c r="Q338" s="54" t="s">
        <v>178</v>
      </c>
      <c r="R338" s="150"/>
      <c r="S338" s="63" t="s">
        <v>0</v>
      </c>
      <c r="T338" s="1">
        <v>40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59">
        <f>SUM(T338:Y338)</f>
        <v>40</v>
      </c>
      <c r="AB338" s="58">
        <v>2018</v>
      </c>
      <c r="AC338" s="9"/>
      <c r="AD338" s="101"/>
      <c r="AE338" s="101"/>
    </row>
    <row r="339" spans="1:31" ht="16.350000000000001" hidden="1" customHeight="1" x14ac:dyDescent="0.25">
      <c r="A339" s="54" t="s">
        <v>18</v>
      </c>
      <c r="B339" s="54" t="s">
        <v>18</v>
      </c>
      <c r="C339" s="54" t="s">
        <v>21</v>
      </c>
      <c r="D339" s="54" t="s">
        <v>18</v>
      </c>
      <c r="E339" s="54" t="s">
        <v>21</v>
      </c>
      <c r="F339" s="54" t="s">
        <v>18</v>
      </c>
      <c r="G339" s="54" t="s">
        <v>22</v>
      </c>
      <c r="H339" s="54" t="s">
        <v>19</v>
      </c>
      <c r="I339" s="54" t="s">
        <v>24</v>
      </c>
      <c r="J339" s="54" t="s">
        <v>18</v>
      </c>
      <c r="K339" s="54" t="s">
        <v>18</v>
      </c>
      <c r="L339" s="54" t="s">
        <v>20</v>
      </c>
      <c r="M339" s="54" t="s">
        <v>37</v>
      </c>
      <c r="N339" s="54" t="s">
        <v>18</v>
      </c>
      <c r="O339" s="54" t="s">
        <v>24</v>
      </c>
      <c r="P339" s="54" t="s">
        <v>22</v>
      </c>
      <c r="Q339" s="54" t="s">
        <v>46</v>
      </c>
      <c r="R339" s="150"/>
      <c r="S339" s="63" t="s">
        <v>0</v>
      </c>
      <c r="T339" s="1">
        <v>5.7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59">
        <f t="shared" si="104"/>
        <v>5.7</v>
      </c>
      <c r="AB339" s="58">
        <v>2018</v>
      </c>
      <c r="AC339" s="9"/>
      <c r="AD339" s="101"/>
      <c r="AE339" s="101"/>
    </row>
    <row r="340" spans="1:31" ht="16.350000000000001" hidden="1" customHeight="1" x14ac:dyDescent="0.25">
      <c r="A340" s="54" t="s">
        <v>18</v>
      </c>
      <c r="B340" s="54" t="s">
        <v>18</v>
      </c>
      <c r="C340" s="54" t="s">
        <v>21</v>
      </c>
      <c r="D340" s="54" t="s">
        <v>18</v>
      </c>
      <c r="E340" s="54" t="s">
        <v>21</v>
      </c>
      <c r="F340" s="54" t="s">
        <v>18</v>
      </c>
      <c r="G340" s="54" t="s">
        <v>22</v>
      </c>
      <c r="H340" s="54" t="s">
        <v>19</v>
      </c>
      <c r="I340" s="54" t="s">
        <v>24</v>
      </c>
      <c r="J340" s="54" t="s">
        <v>18</v>
      </c>
      <c r="K340" s="54" t="s">
        <v>18</v>
      </c>
      <c r="L340" s="54" t="s">
        <v>20</v>
      </c>
      <c r="M340" s="54" t="s">
        <v>37</v>
      </c>
      <c r="N340" s="54" t="s">
        <v>18</v>
      </c>
      <c r="O340" s="54" t="s">
        <v>24</v>
      </c>
      <c r="P340" s="54" t="s">
        <v>22</v>
      </c>
      <c r="Q340" s="54" t="s">
        <v>46</v>
      </c>
      <c r="R340" s="150"/>
      <c r="S340" s="63" t="s">
        <v>0</v>
      </c>
      <c r="T340" s="1">
        <v>98.8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59">
        <f t="shared" si="104"/>
        <v>98.8</v>
      </c>
      <c r="AB340" s="58">
        <v>2018</v>
      </c>
      <c r="AC340" s="9"/>
      <c r="AD340" s="101"/>
      <c r="AE340" s="101"/>
    </row>
    <row r="341" spans="1:31" ht="16.350000000000001" hidden="1" customHeight="1" x14ac:dyDescent="0.25">
      <c r="A341" s="54" t="s">
        <v>18</v>
      </c>
      <c r="B341" s="54" t="s">
        <v>18</v>
      </c>
      <c r="C341" s="54" t="s">
        <v>21</v>
      </c>
      <c r="D341" s="54" t="s">
        <v>18</v>
      </c>
      <c r="E341" s="54" t="s">
        <v>21</v>
      </c>
      <c r="F341" s="54" t="s">
        <v>18</v>
      </c>
      <c r="G341" s="54" t="s">
        <v>22</v>
      </c>
      <c r="H341" s="54" t="s">
        <v>19</v>
      </c>
      <c r="I341" s="54" t="s">
        <v>24</v>
      </c>
      <c r="J341" s="54" t="s">
        <v>18</v>
      </c>
      <c r="K341" s="54" t="s">
        <v>18</v>
      </c>
      <c r="L341" s="54" t="s">
        <v>20</v>
      </c>
      <c r="M341" s="54" t="s">
        <v>37</v>
      </c>
      <c r="N341" s="54" t="s">
        <v>18</v>
      </c>
      <c r="O341" s="54" t="s">
        <v>24</v>
      </c>
      <c r="P341" s="54" t="s">
        <v>22</v>
      </c>
      <c r="Q341" s="54" t="s">
        <v>39</v>
      </c>
      <c r="R341" s="150"/>
      <c r="S341" s="63" t="s">
        <v>0</v>
      </c>
      <c r="T341" s="1">
        <v>250.3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59">
        <f t="shared" si="104"/>
        <v>250.3</v>
      </c>
      <c r="AB341" s="58">
        <v>2018</v>
      </c>
      <c r="AC341" s="9"/>
      <c r="AD341" s="101"/>
      <c r="AE341" s="101"/>
    </row>
    <row r="342" spans="1:31" ht="37.15" hidden="1" customHeight="1" x14ac:dyDescent="0.25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80" t="s">
        <v>220</v>
      </c>
      <c r="S342" s="84" t="s">
        <v>175</v>
      </c>
      <c r="T342" s="3">
        <v>443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6">
        <f t="shared" si="104"/>
        <v>443</v>
      </c>
      <c r="AB342" s="41">
        <v>2018</v>
      </c>
      <c r="AC342" s="9"/>
      <c r="AD342" s="101"/>
      <c r="AE342" s="101"/>
    </row>
    <row r="343" spans="1:31" ht="18.600000000000001" hidden="1" customHeight="1" x14ac:dyDescent="0.25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150" t="s">
        <v>221</v>
      </c>
      <c r="S343" s="63" t="s">
        <v>0</v>
      </c>
      <c r="T343" s="1">
        <f>SUM(T344:T348)</f>
        <v>1100.4000000000001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59">
        <f t="shared" si="104"/>
        <v>1100.4000000000001</v>
      </c>
      <c r="AB343" s="58">
        <v>2018</v>
      </c>
      <c r="AC343" s="9"/>
      <c r="AD343" s="101"/>
      <c r="AE343" s="101"/>
    </row>
    <row r="344" spans="1:31" ht="16.350000000000001" hidden="1" customHeight="1" x14ac:dyDescent="0.25">
      <c r="A344" s="54" t="s">
        <v>18</v>
      </c>
      <c r="B344" s="54" t="s">
        <v>18</v>
      </c>
      <c r="C344" s="54" t="s">
        <v>21</v>
      </c>
      <c r="D344" s="54" t="s">
        <v>18</v>
      </c>
      <c r="E344" s="54" t="s">
        <v>21</v>
      </c>
      <c r="F344" s="54" t="s">
        <v>18</v>
      </c>
      <c r="G344" s="54" t="s">
        <v>22</v>
      </c>
      <c r="H344" s="54" t="s">
        <v>19</v>
      </c>
      <c r="I344" s="54" t="s">
        <v>24</v>
      </c>
      <c r="J344" s="54" t="s">
        <v>18</v>
      </c>
      <c r="K344" s="54" t="s">
        <v>18</v>
      </c>
      <c r="L344" s="54" t="s">
        <v>20</v>
      </c>
      <c r="M344" s="54" t="s">
        <v>19</v>
      </c>
      <c r="N344" s="54" t="s">
        <v>18</v>
      </c>
      <c r="O344" s="54" t="s">
        <v>24</v>
      </c>
      <c r="P344" s="54" t="s">
        <v>22</v>
      </c>
      <c r="Q344" s="54" t="s">
        <v>45</v>
      </c>
      <c r="R344" s="150"/>
      <c r="S344" s="63" t="s">
        <v>0</v>
      </c>
      <c r="T344" s="1">
        <v>400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59">
        <f t="shared" si="104"/>
        <v>400</v>
      </c>
      <c r="AB344" s="58">
        <v>2018</v>
      </c>
      <c r="AC344" s="9"/>
      <c r="AD344" s="101"/>
      <c r="AE344" s="101"/>
    </row>
    <row r="345" spans="1:31" ht="16.350000000000001" hidden="1" customHeight="1" x14ac:dyDescent="0.25">
      <c r="A345" s="54" t="s">
        <v>18</v>
      </c>
      <c r="B345" s="54" t="s">
        <v>18</v>
      </c>
      <c r="C345" s="54" t="s">
        <v>21</v>
      </c>
      <c r="D345" s="54" t="s">
        <v>18</v>
      </c>
      <c r="E345" s="54" t="s">
        <v>21</v>
      </c>
      <c r="F345" s="54" t="s">
        <v>18</v>
      </c>
      <c r="G345" s="54" t="s">
        <v>22</v>
      </c>
      <c r="H345" s="54" t="s">
        <v>19</v>
      </c>
      <c r="I345" s="54" t="s">
        <v>24</v>
      </c>
      <c r="J345" s="54" t="s">
        <v>18</v>
      </c>
      <c r="K345" s="54" t="s">
        <v>18</v>
      </c>
      <c r="L345" s="54" t="s">
        <v>20</v>
      </c>
      <c r="M345" s="54" t="s">
        <v>19</v>
      </c>
      <c r="N345" s="54" t="s">
        <v>18</v>
      </c>
      <c r="O345" s="54" t="s">
        <v>43</v>
      </c>
      <c r="P345" s="54" t="s">
        <v>22</v>
      </c>
      <c r="Q345" s="54" t="s">
        <v>178</v>
      </c>
      <c r="R345" s="150"/>
      <c r="S345" s="63" t="s">
        <v>0</v>
      </c>
      <c r="T345" s="1">
        <v>40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59">
        <f t="shared" si="104"/>
        <v>40</v>
      </c>
      <c r="AB345" s="58">
        <v>2018</v>
      </c>
      <c r="AC345" s="9"/>
      <c r="AD345" s="101"/>
      <c r="AE345" s="101"/>
    </row>
    <row r="346" spans="1:31" ht="16.350000000000001" hidden="1" customHeight="1" x14ac:dyDescent="0.25">
      <c r="A346" s="54" t="s">
        <v>18</v>
      </c>
      <c r="B346" s="54" t="s">
        <v>18</v>
      </c>
      <c r="C346" s="54" t="s">
        <v>21</v>
      </c>
      <c r="D346" s="54" t="s">
        <v>18</v>
      </c>
      <c r="E346" s="54" t="s">
        <v>21</v>
      </c>
      <c r="F346" s="54" t="s">
        <v>18</v>
      </c>
      <c r="G346" s="54" t="s">
        <v>22</v>
      </c>
      <c r="H346" s="54" t="s">
        <v>19</v>
      </c>
      <c r="I346" s="54" t="s">
        <v>24</v>
      </c>
      <c r="J346" s="54" t="s">
        <v>18</v>
      </c>
      <c r="K346" s="54" t="s">
        <v>18</v>
      </c>
      <c r="L346" s="54" t="s">
        <v>20</v>
      </c>
      <c r="M346" s="54" t="s">
        <v>37</v>
      </c>
      <c r="N346" s="54" t="s">
        <v>18</v>
      </c>
      <c r="O346" s="54" t="s">
        <v>24</v>
      </c>
      <c r="P346" s="54" t="s">
        <v>22</v>
      </c>
      <c r="Q346" s="54" t="s">
        <v>46</v>
      </c>
      <c r="R346" s="150"/>
      <c r="S346" s="63" t="s">
        <v>0</v>
      </c>
      <c r="T346" s="1">
        <v>30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59">
        <f t="shared" si="104"/>
        <v>30</v>
      </c>
      <c r="AB346" s="58">
        <v>2018</v>
      </c>
      <c r="AC346" s="9"/>
      <c r="AD346" s="101"/>
      <c r="AE346" s="101"/>
    </row>
    <row r="347" spans="1:31" ht="16.350000000000001" hidden="1" customHeight="1" x14ac:dyDescent="0.25">
      <c r="A347" s="54" t="s">
        <v>18</v>
      </c>
      <c r="B347" s="54" t="s">
        <v>18</v>
      </c>
      <c r="C347" s="54" t="s">
        <v>21</v>
      </c>
      <c r="D347" s="54" t="s">
        <v>18</v>
      </c>
      <c r="E347" s="54" t="s">
        <v>21</v>
      </c>
      <c r="F347" s="54" t="s">
        <v>18</v>
      </c>
      <c r="G347" s="54" t="s">
        <v>22</v>
      </c>
      <c r="H347" s="54" t="s">
        <v>19</v>
      </c>
      <c r="I347" s="54" t="s">
        <v>24</v>
      </c>
      <c r="J347" s="54" t="s">
        <v>18</v>
      </c>
      <c r="K347" s="54" t="s">
        <v>18</v>
      </c>
      <c r="L347" s="54" t="s">
        <v>20</v>
      </c>
      <c r="M347" s="54" t="s">
        <v>37</v>
      </c>
      <c r="N347" s="54" t="s">
        <v>18</v>
      </c>
      <c r="O347" s="54" t="s">
        <v>24</v>
      </c>
      <c r="P347" s="54" t="s">
        <v>22</v>
      </c>
      <c r="Q347" s="54" t="s">
        <v>46</v>
      </c>
      <c r="R347" s="150"/>
      <c r="S347" s="63" t="s">
        <v>0</v>
      </c>
      <c r="T347" s="1">
        <v>166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59">
        <f t="shared" si="104"/>
        <v>166</v>
      </c>
      <c r="AB347" s="58">
        <v>2018</v>
      </c>
      <c r="AC347" s="9"/>
      <c r="AD347" s="101"/>
      <c r="AE347" s="101"/>
    </row>
    <row r="348" spans="1:31" ht="16.350000000000001" hidden="1" customHeight="1" x14ac:dyDescent="0.25">
      <c r="A348" s="54" t="s">
        <v>18</v>
      </c>
      <c r="B348" s="54" t="s">
        <v>18</v>
      </c>
      <c r="C348" s="54" t="s">
        <v>21</v>
      </c>
      <c r="D348" s="54" t="s">
        <v>18</v>
      </c>
      <c r="E348" s="54" t="s">
        <v>21</v>
      </c>
      <c r="F348" s="54" t="s">
        <v>18</v>
      </c>
      <c r="G348" s="54" t="s">
        <v>22</v>
      </c>
      <c r="H348" s="54" t="s">
        <v>19</v>
      </c>
      <c r="I348" s="54" t="s">
        <v>24</v>
      </c>
      <c r="J348" s="54" t="s">
        <v>18</v>
      </c>
      <c r="K348" s="54" t="s">
        <v>18</v>
      </c>
      <c r="L348" s="54" t="s">
        <v>20</v>
      </c>
      <c r="M348" s="54" t="s">
        <v>37</v>
      </c>
      <c r="N348" s="54" t="s">
        <v>18</v>
      </c>
      <c r="O348" s="54" t="s">
        <v>24</v>
      </c>
      <c r="P348" s="54" t="s">
        <v>22</v>
      </c>
      <c r="Q348" s="54" t="s">
        <v>39</v>
      </c>
      <c r="R348" s="150"/>
      <c r="S348" s="63" t="s">
        <v>0</v>
      </c>
      <c r="T348" s="1">
        <v>464.4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59">
        <f t="shared" si="104"/>
        <v>464.4</v>
      </c>
      <c r="AB348" s="58">
        <v>2018</v>
      </c>
      <c r="AC348" s="9"/>
      <c r="AD348" s="101"/>
      <c r="AE348" s="101"/>
    </row>
    <row r="349" spans="1:31" ht="37.15" hidden="1" customHeight="1" x14ac:dyDescent="0.25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80" t="s">
        <v>222</v>
      </c>
      <c r="S349" s="84" t="s">
        <v>175</v>
      </c>
      <c r="T349" s="3">
        <v>930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6">
        <f t="shared" si="104"/>
        <v>930</v>
      </c>
      <c r="AB349" s="41">
        <v>2018</v>
      </c>
      <c r="AC349" s="9"/>
      <c r="AD349" s="101"/>
      <c r="AE349" s="101"/>
    </row>
    <row r="350" spans="1:31" ht="22.15" hidden="1" customHeight="1" x14ac:dyDescent="0.25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150" t="s">
        <v>223</v>
      </c>
      <c r="S350" s="63" t="s">
        <v>0</v>
      </c>
      <c r="T350" s="1">
        <f>SUM(T351:T355)</f>
        <v>1421.6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59">
        <f t="shared" si="104"/>
        <v>1421.6</v>
      </c>
      <c r="AB350" s="58">
        <v>2018</v>
      </c>
      <c r="AC350" s="9"/>
      <c r="AD350" s="101"/>
      <c r="AE350" s="101"/>
    </row>
    <row r="351" spans="1:31" ht="16.350000000000001" hidden="1" customHeight="1" x14ac:dyDescent="0.25">
      <c r="A351" s="54" t="s">
        <v>18</v>
      </c>
      <c r="B351" s="54" t="s">
        <v>18</v>
      </c>
      <c r="C351" s="54" t="s">
        <v>21</v>
      </c>
      <c r="D351" s="54" t="s">
        <v>18</v>
      </c>
      <c r="E351" s="54" t="s">
        <v>21</v>
      </c>
      <c r="F351" s="54" t="s">
        <v>18</v>
      </c>
      <c r="G351" s="54" t="s">
        <v>22</v>
      </c>
      <c r="H351" s="54" t="s">
        <v>19</v>
      </c>
      <c r="I351" s="54" t="s">
        <v>24</v>
      </c>
      <c r="J351" s="54" t="s">
        <v>18</v>
      </c>
      <c r="K351" s="54" t="s">
        <v>18</v>
      </c>
      <c r="L351" s="54" t="s">
        <v>20</v>
      </c>
      <c r="M351" s="54" t="s">
        <v>19</v>
      </c>
      <c r="N351" s="54" t="s">
        <v>18</v>
      </c>
      <c r="O351" s="54" t="s">
        <v>24</v>
      </c>
      <c r="P351" s="54" t="s">
        <v>22</v>
      </c>
      <c r="Q351" s="54" t="s">
        <v>45</v>
      </c>
      <c r="R351" s="150"/>
      <c r="S351" s="63" t="s">
        <v>0</v>
      </c>
      <c r="T351" s="1">
        <v>400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59">
        <f t="shared" si="104"/>
        <v>400</v>
      </c>
      <c r="AB351" s="58">
        <v>2018</v>
      </c>
      <c r="AC351" s="9"/>
      <c r="AD351" s="101"/>
      <c r="AE351" s="101"/>
    </row>
    <row r="352" spans="1:31" ht="16.350000000000001" hidden="1" customHeight="1" x14ac:dyDescent="0.25">
      <c r="A352" s="54" t="s">
        <v>18</v>
      </c>
      <c r="B352" s="54" t="s">
        <v>18</v>
      </c>
      <c r="C352" s="54" t="s">
        <v>21</v>
      </c>
      <c r="D352" s="54" t="s">
        <v>18</v>
      </c>
      <c r="E352" s="54" t="s">
        <v>21</v>
      </c>
      <c r="F352" s="54" t="s">
        <v>18</v>
      </c>
      <c r="G352" s="54" t="s">
        <v>22</v>
      </c>
      <c r="H352" s="54" t="s">
        <v>19</v>
      </c>
      <c r="I352" s="54" t="s">
        <v>24</v>
      </c>
      <c r="J352" s="54" t="s">
        <v>18</v>
      </c>
      <c r="K352" s="54" t="s">
        <v>18</v>
      </c>
      <c r="L352" s="54" t="s">
        <v>20</v>
      </c>
      <c r="M352" s="54" t="s">
        <v>19</v>
      </c>
      <c r="N352" s="54" t="s">
        <v>18</v>
      </c>
      <c r="O352" s="54" t="s">
        <v>43</v>
      </c>
      <c r="P352" s="54" t="s">
        <v>22</v>
      </c>
      <c r="Q352" s="54" t="s">
        <v>178</v>
      </c>
      <c r="R352" s="150"/>
      <c r="S352" s="63" t="s">
        <v>0</v>
      </c>
      <c r="T352" s="1">
        <v>50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59">
        <f>SUM(T352:Y352)</f>
        <v>50</v>
      </c>
      <c r="AB352" s="58">
        <v>2018</v>
      </c>
      <c r="AC352" s="9"/>
      <c r="AD352" s="101"/>
      <c r="AE352" s="101"/>
    </row>
    <row r="353" spans="1:31" ht="16.350000000000001" hidden="1" customHeight="1" x14ac:dyDescent="0.25">
      <c r="A353" s="54" t="s">
        <v>18</v>
      </c>
      <c r="B353" s="54" t="s">
        <v>18</v>
      </c>
      <c r="C353" s="54" t="s">
        <v>21</v>
      </c>
      <c r="D353" s="54" t="s">
        <v>18</v>
      </c>
      <c r="E353" s="54" t="s">
        <v>21</v>
      </c>
      <c r="F353" s="54" t="s">
        <v>18</v>
      </c>
      <c r="G353" s="54" t="s">
        <v>22</v>
      </c>
      <c r="H353" s="54" t="s">
        <v>19</v>
      </c>
      <c r="I353" s="54" t="s">
        <v>24</v>
      </c>
      <c r="J353" s="54" t="s">
        <v>18</v>
      </c>
      <c r="K353" s="54" t="s">
        <v>18</v>
      </c>
      <c r="L353" s="54" t="s">
        <v>20</v>
      </c>
      <c r="M353" s="54" t="s">
        <v>37</v>
      </c>
      <c r="N353" s="54" t="s">
        <v>18</v>
      </c>
      <c r="O353" s="54" t="s">
        <v>24</v>
      </c>
      <c r="P353" s="54" t="s">
        <v>22</v>
      </c>
      <c r="Q353" s="54" t="s">
        <v>46</v>
      </c>
      <c r="R353" s="150"/>
      <c r="S353" s="63" t="s">
        <v>0</v>
      </c>
      <c r="T353" s="1">
        <v>83.1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59">
        <f t="shared" si="104"/>
        <v>83.1</v>
      </c>
      <c r="AB353" s="58">
        <v>2018</v>
      </c>
      <c r="AC353" s="9"/>
      <c r="AD353" s="101"/>
      <c r="AE353" s="101"/>
    </row>
    <row r="354" spans="1:31" ht="16.350000000000001" hidden="1" customHeight="1" x14ac:dyDescent="0.25">
      <c r="A354" s="54" t="s">
        <v>18</v>
      </c>
      <c r="B354" s="54" t="s">
        <v>18</v>
      </c>
      <c r="C354" s="54" t="s">
        <v>21</v>
      </c>
      <c r="D354" s="54" t="s">
        <v>18</v>
      </c>
      <c r="E354" s="54" t="s">
        <v>21</v>
      </c>
      <c r="F354" s="54" t="s">
        <v>18</v>
      </c>
      <c r="G354" s="54" t="s">
        <v>22</v>
      </c>
      <c r="H354" s="54" t="s">
        <v>19</v>
      </c>
      <c r="I354" s="54" t="s">
        <v>24</v>
      </c>
      <c r="J354" s="54" t="s">
        <v>18</v>
      </c>
      <c r="K354" s="54" t="s">
        <v>18</v>
      </c>
      <c r="L354" s="54" t="s">
        <v>20</v>
      </c>
      <c r="M354" s="54" t="s">
        <v>37</v>
      </c>
      <c r="N354" s="54" t="s">
        <v>18</v>
      </c>
      <c r="O354" s="54" t="s">
        <v>24</v>
      </c>
      <c r="P354" s="54" t="s">
        <v>22</v>
      </c>
      <c r="Q354" s="54" t="s">
        <v>46</v>
      </c>
      <c r="R354" s="150"/>
      <c r="S354" s="63" t="s">
        <v>0</v>
      </c>
      <c r="T354" s="1">
        <v>143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59">
        <f t="shared" si="104"/>
        <v>143</v>
      </c>
      <c r="AB354" s="58">
        <v>2018</v>
      </c>
      <c r="AC354" s="9"/>
      <c r="AD354" s="101"/>
      <c r="AE354" s="101"/>
    </row>
    <row r="355" spans="1:31" ht="16.350000000000001" hidden="1" customHeight="1" x14ac:dyDescent="0.25">
      <c r="A355" s="54" t="s">
        <v>18</v>
      </c>
      <c r="B355" s="54" t="s">
        <v>18</v>
      </c>
      <c r="C355" s="54" t="s">
        <v>21</v>
      </c>
      <c r="D355" s="54" t="s">
        <v>18</v>
      </c>
      <c r="E355" s="54" t="s">
        <v>21</v>
      </c>
      <c r="F355" s="54" t="s">
        <v>18</v>
      </c>
      <c r="G355" s="54" t="s">
        <v>22</v>
      </c>
      <c r="H355" s="54" t="s">
        <v>19</v>
      </c>
      <c r="I355" s="54" t="s">
        <v>24</v>
      </c>
      <c r="J355" s="54" t="s">
        <v>18</v>
      </c>
      <c r="K355" s="54" t="s">
        <v>18</v>
      </c>
      <c r="L355" s="54" t="s">
        <v>20</v>
      </c>
      <c r="M355" s="54" t="s">
        <v>37</v>
      </c>
      <c r="N355" s="54" t="s">
        <v>18</v>
      </c>
      <c r="O355" s="54" t="s">
        <v>24</v>
      </c>
      <c r="P355" s="54" t="s">
        <v>22</v>
      </c>
      <c r="Q355" s="54" t="s">
        <v>39</v>
      </c>
      <c r="R355" s="150"/>
      <c r="S355" s="63" t="s">
        <v>0</v>
      </c>
      <c r="T355" s="1">
        <v>745.5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59">
        <f t="shared" si="104"/>
        <v>745.5</v>
      </c>
      <c r="AB355" s="58">
        <v>2018</v>
      </c>
      <c r="AC355" s="9"/>
      <c r="AD355" s="101"/>
      <c r="AE355" s="101"/>
    </row>
    <row r="356" spans="1:31" ht="36.6" hidden="1" customHeight="1" x14ac:dyDescent="0.25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80" t="s">
        <v>224</v>
      </c>
      <c r="S356" s="84" t="s">
        <v>175</v>
      </c>
      <c r="T356" s="3">
        <v>1070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6">
        <f t="shared" si="104"/>
        <v>1070</v>
      </c>
      <c r="AB356" s="41">
        <v>2018</v>
      </c>
      <c r="AC356" s="9"/>
      <c r="AD356" s="101"/>
      <c r="AE356" s="101"/>
    </row>
    <row r="357" spans="1:31" ht="19.899999999999999" hidden="1" customHeight="1" x14ac:dyDescent="0.25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150" t="s">
        <v>225</v>
      </c>
      <c r="S357" s="63" t="s">
        <v>0</v>
      </c>
      <c r="T357" s="1">
        <f>SUM(T358:T362)</f>
        <v>263.89999999999998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59">
        <f t="shared" si="104"/>
        <v>263.89999999999998</v>
      </c>
      <c r="AB357" s="58">
        <v>2018</v>
      </c>
      <c r="AC357" s="9"/>
      <c r="AD357" s="101"/>
      <c r="AE357" s="101"/>
    </row>
    <row r="358" spans="1:31" ht="16.350000000000001" hidden="1" customHeight="1" x14ac:dyDescent="0.25">
      <c r="A358" s="54" t="s">
        <v>18</v>
      </c>
      <c r="B358" s="54" t="s">
        <v>18</v>
      </c>
      <c r="C358" s="54" t="s">
        <v>21</v>
      </c>
      <c r="D358" s="54" t="s">
        <v>18</v>
      </c>
      <c r="E358" s="54" t="s">
        <v>21</v>
      </c>
      <c r="F358" s="54" t="s">
        <v>18</v>
      </c>
      <c r="G358" s="54" t="s">
        <v>22</v>
      </c>
      <c r="H358" s="54" t="s">
        <v>19</v>
      </c>
      <c r="I358" s="54" t="s">
        <v>24</v>
      </c>
      <c r="J358" s="54" t="s">
        <v>18</v>
      </c>
      <c r="K358" s="54" t="s">
        <v>18</v>
      </c>
      <c r="L358" s="54" t="s">
        <v>20</v>
      </c>
      <c r="M358" s="54" t="s">
        <v>19</v>
      </c>
      <c r="N358" s="54" t="s">
        <v>18</v>
      </c>
      <c r="O358" s="54" t="s">
        <v>24</v>
      </c>
      <c r="P358" s="54" t="s">
        <v>22</v>
      </c>
      <c r="Q358" s="54" t="s">
        <v>45</v>
      </c>
      <c r="R358" s="150"/>
      <c r="S358" s="63" t="s">
        <v>0</v>
      </c>
      <c r="T358" s="1">
        <v>105.5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59">
        <f t="shared" si="104"/>
        <v>105.5</v>
      </c>
      <c r="AB358" s="58">
        <v>2018</v>
      </c>
      <c r="AC358" s="9"/>
      <c r="AD358" s="101"/>
      <c r="AE358" s="101"/>
    </row>
    <row r="359" spans="1:31" ht="16.350000000000001" hidden="1" customHeight="1" x14ac:dyDescent="0.25">
      <c r="A359" s="54" t="s">
        <v>18</v>
      </c>
      <c r="B359" s="54" t="s">
        <v>18</v>
      </c>
      <c r="C359" s="54" t="s">
        <v>21</v>
      </c>
      <c r="D359" s="54" t="s">
        <v>18</v>
      </c>
      <c r="E359" s="54" t="s">
        <v>21</v>
      </c>
      <c r="F359" s="54" t="s">
        <v>18</v>
      </c>
      <c r="G359" s="54" t="s">
        <v>22</v>
      </c>
      <c r="H359" s="54" t="s">
        <v>19</v>
      </c>
      <c r="I359" s="54" t="s">
        <v>24</v>
      </c>
      <c r="J359" s="54" t="s">
        <v>18</v>
      </c>
      <c r="K359" s="54" t="s">
        <v>18</v>
      </c>
      <c r="L359" s="54" t="s">
        <v>20</v>
      </c>
      <c r="M359" s="54" t="s">
        <v>19</v>
      </c>
      <c r="N359" s="54" t="s">
        <v>18</v>
      </c>
      <c r="O359" s="54" t="s">
        <v>43</v>
      </c>
      <c r="P359" s="54" t="s">
        <v>22</v>
      </c>
      <c r="Q359" s="54" t="s">
        <v>178</v>
      </c>
      <c r="R359" s="150"/>
      <c r="S359" s="63" t="s">
        <v>0</v>
      </c>
      <c r="T359" s="1">
        <v>20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59">
        <f t="shared" si="104"/>
        <v>20</v>
      </c>
      <c r="AB359" s="58">
        <v>2018</v>
      </c>
      <c r="AC359" s="9"/>
      <c r="AD359" s="101"/>
      <c r="AE359" s="101"/>
    </row>
    <row r="360" spans="1:31" ht="16.350000000000001" hidden="1" customHeight="1" x14ac:dyDescent="0.25">
      <c r="A360" s="54" t="s">
        <v>18</v>
      </c>
      <c r="B360" s="54" t="s">
        <v>18</v>
      </c>
      <c r="C360" s="54" t="s">
        <v>21</v>
      </c>
      <c r="D360" s="54" t="s">
        <v>18</v>
      </c>
      <c r="E360" s="54" t="s">
        <v>21</v>
      </c>
      <c r="F360" s="54" t="s">
        <v>18</v>
      </c>
      <c r="G360" s="54" t="s">
        <v>22</v>
      </c>
      <c r="H360" s="54" t="s">
        <v>19</v>
      </c>
      <c r="I360" s="54" t="s">
        <v>24</v>
      </c>
      <c r="J360" s="54" t="s">
        <v>18</v>
      </c>
      <c r="K360" s="54" t="s">
        <v>18</v>
      </c>
      <c r="L360" s="54" t="s">
        <v>20</v>
      </c>
      <c r="M360" s="54" t="s">
        <v>37</v>
      </c>
      <c r="N360" s="54" t="s">
        <v>18</v>
      </c>
      <c r="O360" s="54" t="s">
        <v>24</v>
      </c>
      <c r="P360" s="54" t="s">
        <v>22</v>
      </c>
      <c r="Q360" s="54" t="s">
        <v>46</v>
      </c>
      <c r="R360" s="150"/>
      <c r="S360" s="63" t="s">
        <v>0</v>
      </c>
      <c r="T360" s="1">
        <v>19.399999999999999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59">
        <f t="shared" si="104"/>
        <v>19.399999999999999</v>
      </c>
      <c r="AB360" s="58">
        <v>2018</v>
      </c>
      <c r="AC360" s="9"/>
      <c r="AD360" s="101"/>
      <c r="AE360" s="101"/>
    </row>
    <row r="361" spans="1:31" ht="16.350000000000001" hidden="1" customHeight="1" x14ac:dyDescent="0.25">
      <c r="A361" s="54" t="s">
        <v>18</v>
      </c>
      <c r="B361" s="54" t="s">
        <v>18</v>
      </c>
      <c r="C361" s="54" t="s">
        <v>21</v>
      </c>
      <c r="D361" s="54" t="s">
        <v>18</v>
      </c>
      <c r="E361" s="54" t="s">
        <v>21</v>
      </c>
      <c r="F361" s="54" t="s">
        <v>18</v>
      </c>
      <c r="G361" s="54" t="s">
        <v>22</v>
      </c>
      <c r="H361" s="54" t="s">
        <v>19</v>
      </c>
      <c r="I361" s="54" t="s">
        <v>24</v>
      </c>
      <c r="J361" s="54" t="s">
        <v>18</v>
      </c>
      <c r="K361" s="54" t="s">
        <v>18</v>
      </c>
      <c r="L361" s="54" t="s">
        <v>20</v>
      </c>
      <c r="M361" s="54" t="s">
        <v>37</v>
      </c>
      <c r="N361" s="54" t="s">
        <v>18</v>
      </c>
      <c r="O361" s="54" t="s">
        <v>24</v>
      </c>
      <c r="P361" s="54" t="s">
        <v>22</v>
      </c>
      <c r="Q361" s="54" t="s">
        <v>46</v>
      </c>
      <c r="R361" s="150"/>
      <c r="S361" s="63" t="s">
        <v>0</v>
      </c>
      <c r="T361" s="1">
        <v>39.6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59">
        <f t="shared" si="104"/>
        <v>39.6</v>
      </c>
      <c r="AB361" s="58">
        <v>2018</v>
      </c>
      <c r="AC361" s="9"/>
      <c r="AD361" s="101"/>
      <c r="AE361" s="101"/>
    </row>
    <row r="362" spans="1:31" ht="16.350000000000001" hidden="1" customHeight="1" x14ac:dyDescent="0.25">
      <c r="A362" s="54" t="s">
        <v>18</v>
      </c>
      <c r="B362" s="54" t="s">
        <v>18</v>
      </c>
      <c r="C362" s="54" t="s">
        <v>21</v>
      </c>
      <c r="D362" s="54" t="s">
        <v>18</v>
      </c>
      <c r="E362" s="54" t="s">
        <v>21</v>
      </c>
      <c r="F362" s="54" t="s">
        <v>18</v>
      </c>
      <c r="G362" s="54" t="s">
        <v>22</v>
      </c>
      <c r="H362" s="54" t="s">
        <v>19</v>
      </c>
      <c r="I362" s="54" t="s">
        <v>24</v>
      </c>
      <c r="J362" s="54" t="s">
        <v>18</v>
      </c>
      <c r="K362" s="54" t="s">
        <v>18</v>
      </c>
      <c r="L362" s="54" t="s">
        <v>20</v>
      </c>
      <c r="M362" s="54" t="s">
        <v>37</v>
      </c>
      <c r="N362" s="54" t="s">
        <v>18</v>
      </c>
      <c r="O362" s="54" t="s">
        <v>24</v>
      </c>
      <c r="P362" s="54" t="s">
        <v>22</v>
      </c>
      <c r="Q362" s="54" t="s">
        <v>39</v>
      </c>
      <c r="R362" s="150"/>
      <c r="S362" s="63" t="s">
        <v>0</v>
      </c>
      <c r="T362" s="1">
        <v>79.400000000000006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59">
        <f t="shared" si="104"/>
        <v>79.400000000000006</v>
      </c>
      <c r="AB362" s="58">
        <v>2018</v>
      </c>
      <c r="AC362" s="9"/>
      <c r="AD362" s="101"/>
      <c r="AE362" s="101"/>
    </row>
    <row r="363" spans="1:31" ht="36.6" hidden="1" customHeight="1" x14ac:dyDescent="0.25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80" t="s">
        <v>226</v>
      </c>
      <c r="S363" s="84" t="s">
        <v>8</v>
      </c>
      <c r="T363" s="44">
        <v>5</v>
      </c>
      <c r="U363" s="44">
        <v>0</v>
      </c>
      <c r="V363" s="44">
        <v>0</v>
      </c>
      <c r="W363" s="44">
        <v>0</v>
      </c>
      <c r="X363" s="44">
        <v>0</v>
      </c>
      <c r="Y363" s="44">
        <v>0</v>
      </c>
      <c r="Z363" s="44">
        <v>0</v>
      </c>
      <c r="AA363" s="6">
        <f t="shared" si="104"/>
        <v>5</v>
      </c>
      <c r="AB363" s="41">
        <v>2018</v>
      </c>
      <c r="AC363" s="9"/>
      <c r="AD363" s="101"/>
      <c r="AE363" s="101"/>
    </row>
    <row r="364" spans="1:31" ht="15.6" hidden="1" customHeight="1" x14ac:dyDescent="0.25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150" t="s">
        <v>227</v>
      </c>
      <c r="S364" s="63" t="s">
        <v>0</v>
      </c>
      <c r="T364" s="1">
        <f>SUM(T365:T369)</f>
        <v>490.3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59">
        <f t="shared" si="104"/>
        <v>490.3</v>
      </c>
      <c r="AB364" s="58">
        <v>2018</v>
      </c>
      <c r="AC364" s="9"/>
      <c r="AD364" s="101"/>
      <c r="AE364" s="101"/>
    </row>
    <row r="365" spans="1:31" ht="15.6" hidden="1" customHeight="1" x14ac:dyDescent="0.25">
      <c r="A365" s="54" t="s">
        <v>18</v>
      </c>
      <c r="B365" s="54" t="s">
        <v>18</v>
      </c>
      <c r="C365" s="54" t="s">
        <v>21</v>
      </c>
      <c r="D365" s="54" t="s">
        <v>18</v>
      </c>
      <c r="E365" s="54" t="s">
        <v>24</v>
      </c>
      <c r="F365" s="54" t="s">
        <v>18</v>
      </c>
      <c r="G365" s="54" t="s">
        <v>43</v>
      </c>
      <c r="H365" s="54" t="s">
        <v>19</v>
      </c>
      <c r="I365" s="54" t="s">
        <v>24</v>
      </c>
      <c r="J365" s="54" t="s">
        <v>18</v>
      </c>
      <c r="K365" s="54" t="s">
        <v>18</v>
      </c>
      <c r="L365" s="54" t="s">
        <v>20</v>
      </c>
      <c r="M365" s="54" t="s">
        <v>19</v>
      </c>
      <c r="N365" s="54" t="s">
        <v>18</v>
      </c>
      <c r="O365" s="54" t="s">
        <v>24</v>
      </c>
      <c r="P365" s="54" t="s">
        <v>22</v>
      </c>
      <c r="Q365" s="54" t="s">
        <v>45</v>
      </c>
      <c r="R365" s="150"/>
      <c r="S365" s="63" t="s">
        <v>0</v>
      </c>
      <c r="T365" s="1">
        <v>196.1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59">
        <f t="shared" si="104"/>
        <v>196.1</v>
      </c>
      <c r="AB365" s="58">
        <v>2018</v>
      </c>
      <c r="AC365" s="9"/>
      <c r="AD365" s="101"/>
      <c r="AE365" s="101"/>
    </row>
    <row r="366" spans="1:31" ht="15.6" hidden="1" customHeight="1" x14ac:dyDescent="0.25">
      <c r="A366" s="54" t="s">
        <v>18</v>
      </c>
      <c r="B366" s="54" t="s">
        <v>18</v>
      </c>
      <c r="C366" s="54" t="s">
        <v>21</v>
      </c>
      <c r="D366" s="54" t="s">
        <v>18</v>
      </c>
      <c r="E366" s="54" t="s">
        <v>24</v>
      </c>
      <c r="F366" s="54" t="s">
        <v>18</v>
      </c>
      <c r="G366" s="54" t="s">
        <v>43</v>
      </c>
      <c r="H366" s="54" t="s">
        <v>19</v>
      </c>
      <c r="I366" s="54" t="s">
        <v>24</v>
      </c>
      <c r="J366" s="54" t="s">
        <v>18</v>
      </c>
      <c r="K366" s="54" t="s">
        <v>18</v>
      </c>
      <c r="L366" s="54" t="s">
        <v>20</v>
      </c>
      <c r="M366" s="54" t="s">
        <v>19</v>
      </c>
      <c r="N366" s="54" t="s">
        <v>18</v>
      </c>
      <c r="O366" s="54" t="s">
        <v>43</v>
      </c>
      <c r="P366" s="54" t="s">
        <v>22</v>
      </c>
      <c r="Q366" s="54" t="s">
        <v>178</v>
      </c>
      <c r="R366" s="150"/>
      <c r="S366" s="63" t="s">
        <v>0</v>
      </c>
      <c r="T366" s="1">
        <v>30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59">
        <f>SUM(T366:Y366)</f>
        <v>30</v>
      </c>
      <c r="AB366" s="58">
        <v>2018</v>
      </c>
      <c r="AC366" s="9"/>
      <c r="AD366" s="101"/>
      <c r="AE366" s="101"/>
    </row>
    <row r="367" spans="1:31" ht="15.6" hidden="1" customHeight="1" x14ac:dyDescent="0.25">
      <c r="A367" s="54" t="s">
        <v>18</v>
      </c>
      <c r="B367" s="54" t="s">
        <v>18</v>
      </c>
      <c r="C367" s="54" t="s">
        <v>21</v>
      </c>
      <c r="D367" s="54" t="s">
        <v>18</v>
      </c>
      <c r="E367" s="54" t="s">
        <v>24</v>
      </c>
      <c r="F367" s="54" t="s">
        <v>18</v>
      </c>
      <c r="G367" s="54" t="s">
        <v>43</v>
      </c>
      <c r="H367" s="54" t="s">
        <v>19</v>
      </c>
      <c r="I367" s="54" t="s">
        <v>24</v>
      </c>
      <c r="J367" s="54" t="s">
        <v>18</v>
      </c>
      <c r="K367" s="54" t="s">
        <v>18</v>
      </c>
      <c r="L367" s="54" t="s">
        <v>20</v>
      </c>
      <c r="M367" s="54" t="s">
        <v>37</v>
      </c>
      <c r="N367" s="54" t="s">
        <v>18</v>
      </c>
      <c r="O367" s="54" t="s">
        <v>24</v>
      </c>
      <c r="P367" s="54" t="s">
        <v>22</v>
      </c>
      <c r="Q367" s="54" t="s">
        <v>46</v>
      </c>
      <c r="R367" s="150"/>
      <c r="S367" s="63" t="s">
        <v>0</v>
      </c>
      <c r="T367" s="1">
        <v>33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59">
        <f t="shared" si="104"/>
        <v>33</v>
      </c>
      <c r="AB367" s="58">
        <v>2018</v>
      </c>
      <c r="AC367" s="9"/>
      <c r="AD367" s="101"/>
      <c r="AE367" s="101"/>
    </row>
    <row r="368" spans="1:31" ht="15.6" hidden="1" customHeight="1" x14ac:dyDescent="0.25">
      <c r="A368" s="54" t="s">
        <v>18</v>
      </c>
      <c r="B368" s="54" t="s">
        <v>18</v>
      </c>
      <c r="C368" s="54" t="s">
        <v>21</v>
      </c>
      <c r="D368" s="54" t="s">
        <v>18</v>
      </c>
      <c r="E368" s="54" t="s">
        <v>24</v>
      </c>
      <c r="F368" s="54" t="s">
        <v>18</v>
      </c>
      <c r="G368" s="54" t="s">
        <v>43</v>
      </c>
      <c r="H368" s="54" t="s">
        <v>19</v>
      </c>
      <c r="I368" s="54" t="s">
        <v>24</v>
      </c>
      <c r="J368" s="54" t="s">
        <v>18</v>
      </c>
      <c r="K368" s="54" t="s">
        <v>18</v>
      </c>
      <c r="L368" s="54" t="s">
        <v>20</v>
      </c>
      <c r="M368" s="54" t="s">
        <v>37</v>
      </c>
      <c r="N368" s="54" t="s">
        <v>18</v>
      </c>
      <c r="O368" s="54" t="s">
        <v>24</v>
      </c>
      <c r="P368" s="54" t="s">
        <v>22</v>
      </c>
      <c r="Q368" s="54" t="s">
        <v>46</v>
      </c>
      <c r="R368" s="150"/>
      <c r="S368" s="63" t="s">
        <v>0</v>
      </c>
      <c r="T368" s="1">
        <v>102.9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59">
        <f t="shared" si="104"/>
        <v>102.9</v>
      </c>
      <c r="AB368" s="58">
        <v>2018</v>
      </c>
      <c r="AC368" s="9"/>
      <c r="AD368" s="101"/>
      <c r="AE368" s="101"/>
    </row>
    <row r="369" spans="1:31" ht="15.6" hidden="1" customHeight="1" x14ac:dyDescent="0.25">
      <c r="A369" s="54" t="s">
        <v>18</v>
      </c>
      <c r="B369" s="54" t="s">
        <v>18</v>
      </c>
      <c r="C369" s="54" t="s">
        <v>21</v>
      </c>
      <c r="D369" s="54" t="s">
        <v>18</v>
      </c>
      <c r="E369" s="54" t="s">
        <v>24</v>
      </c>
      <c r="F369" s="54" t="s">
        <v>18</v>
      </c>
      <c r="G369" s="54" t="s">
        <v>43</v>
      </c>
      <c r="H369" s="54" t="s">
        <v>19</v>
      </c>
      <c r="I369" s="54" t="s">
        <v>24</v>
      </c>
      <c r="J369" s="54" t="s">
        <v>18</v>
      </c>
      <c r="K369" s="54" t="s">
        <v>18</v>
      </c>
      <c r="L369" s="54" t="s">
        <v>20</v>
      </c>
      <c r="M369" s="54" t="s">
        <v>37</v>
      </c>
      <c r="N369" s="54" t="s">
        <v>18</v>
      </c>
      <c r="O369" s="54" t="s">
        <v>24</v>
      </c>
      <c r="P369" s="54" t="s">
        <v>22</v>
      </c>
      <c r="Q369" s="54" t="s">
        <v>39</v>
      </c>
      <c r="R369" s="150"/>
      <c r="S369" s="63" t="s">
        <v>0</v>
      </c>
      <c r="T369" s="1">
        <v>128.30000000000001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59">
        <f t="shared" si="104"/>
        <v>128.30000000000001</v>
      </c>
      <c r="AB369" s="58">
        <v>2018</v>
      </c>
      <c r="AC369" s="9"/>
      <c r="AD369" s="101"/>
      <c r="AE369" s="101"/>
    </row>
    <row r="370" spans="1:31" ht="31.15" hidden="1" customHeight="1" x14ac:dyDescent="0.25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78" t="s">
        <v>228</v>
      </c>
      <c r="S370" s="89" t="s">
        <v>180</v>
      </c>
      <c r="T370" s="3">
        <v>180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6">
        <f t="shared" si="104"/>
        <v>180</v>
      </c>
      <c r="AB370" s="41">
        <v>2018</v>
      </c>
      <c r="AC370" s="9"/>
      <c r="AD370" s="101"/>
      <c r="AE370" s="101"/>
    </row>
    <row r="371" spans="1:31" ht="15.6" hidden="1" customHeight="1" x14ac:dyDescent="0.25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150" t="s">
        <v>229</v>
      </c>
      <c r="S371" s="63" t="s">
        <v>0</v>
      </c>
      <c r="T371" s="1">
        <f>SUM(T372:T376)</f>
        <v>1177.5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59">
        <f t="shared" si="104"/>
        <v>1177.5</v>
      </c>
      <c r="AB371" s="58">
        <v>2018</v>
      </c>
      <c r="AC371" s="9"/>
      <c r="AD371" s="101"/>
      <c r="AE371" s="101"/>
    </row>
    <row r="372" spans="1:31" ht="15.6" hidden="1" customHeight="1" x14ac:dyDescent="0.25">
      <c r="A372" s="54" t="s">
        <v>18</v>
      </c>
      <c r="B372" s="54" t="s">
        <v>18</v>
      </c>
      <c r="C372" s="54" t="s">
        <v>21</v>
      </c>
      <c r="D372" s="54" t="s">
        <v>18</v>
      </c>
      <c r="E372" s="54" t="s">
        <v>21</v>
      </c>
      <c r="F372" s="54" t="s">
        <v>18</v>
      </c>
      <c r="G372" s="54" t="s">
        <v>22</v>
      </c>
      <c r="H372" s="54" t="s">
        <v>19</v>
      </c>
      <c r="I372" s="54" t="s">
        <v>24</v>
      </c>
      <c r="J372" s="54" t="s">
        <v>18</v>
      </c>
      <c r="K372" s="54" t="s">
        <v>18</v>
      </c>
      <c r="L372" s="54" t="s">
        <v>20</v>
      </c>
      <c r="M372" s="54" t="s">
        <v>19</v>
      </c>
      <c r="N372" s="54" t="s">
        <v>18</v>
      </c>
      <c r="O372" s="54" t="s">
        <v>24</v>
      </c>
      <c r="P372" s="54" t="s">
        <v>22</v>
      </c>
      <c r="Q372" s="54" t="s">
        <v>45</v>
      </c>
      <c r="R372" s="150"/>
      <c r="S372" s="63" t="s">
        <v>0</v>
      </c>
      <c r="T372" s="1">
        <v>400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59">
        <f t="shared" si="104"/>
        <v>400</v>
      </c>
      <c r="AB372" s="58">
        <v>2018</v>
      </c>
      <c r="AC372" s="9"/>
      <c r="AD372" s="101"/>
      <c r="AE372" s="101"/>
    </row>
    <row r="373" spans="1:31" ht="15.6" hidden="1" customHeight="1" x14ac:dyDescent="0.25">
      <c r="A373" s="54" t="s">
        <v>18</v>
      </c>
      <c r="B373" s="54" t="s">
        <v>18</v>
      </c>
      <c r="C373" s="54" t="s">
        <v>21</v>
      </c>
      <c r="D373" s="54" t="s">
        <v>18</v>
      </c>
      <c r="E373" s="54" t="s">
        <v>21</v>
      </c>
      <c r="F373" s="54" t="s">
        <v>18</v>
      </c>
      <c r="G373" s="54" t="s">
        <v>22</v>
      </c>
      <c r="H373" s="54" t="s">
        <v>19</v>
      </c>
      <c r="I373" s="54" t="s">
        <v>24</v>
      </c>
      <c r="J373" s="54" t="s">
        <v>18</v>
      </c>
      <c r="K373" s="54" t="s">
        <v>18</v>
      </c>
      <c r="L373" s="54" t="s">
        <v>20</v>
      </c>
      <c r="M373" s="54" t="s">
        <v>19</v>
      </c>
      <c r="N373" s="54" t="s">
        <v>18</v>
      </c>
      <c r="O373" s="54" t="s">
        <v>43</v>
      </c>
      <c r="P373" s="54" t="s">
        <v>22</v>
      </c>
      <c r="Q373" s="54" t="s">
        <v>178</v>
      </c>
      <c r="R373" s="150"/>
      <c r="S373" s="63" t="s">
        <v>0</v>
      </c>
      <c r="T373" s="1">
        <v>45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59">
        <f t="shared" si="104"/>
        <v>45</v>
      </c>
      <c r="AB373" s="58">
        <v>2018</v>
      </c>
      <c r="AC373" s="9"/>
      <c r="AD373" s="101"/>
      <c r="AE373" s="101"/>
    </row>
    <row r="374" spans="1:31" ht="15.6" hidden="1" customHeight="1" x14ac:dyDescent="0.25">
      <c r="A374" s="54" t="s">
        <v>18</v>
      </c>
      <c r="B374" s="54" t="s">
        <v>18</v>
      </c>
      <c r="C374" s="54" t="s">
        <v>21</v>
      </c>
      <c r="D374" s="54" t="s">
        <v>18</v>
      </c>
      <c r="E374" s="54" t="s">
        <v>21</v>
      </c>
      <c r="F374" s="54" t="s">
        <v>18</v>
      </c>
      <c r="G374" s="54" t="s">
        <v>22</v>
      </c>
      <c r="H374" s="54" t="s">
        <v>19</v>
      </c>
      <c r="I374" s="54" t="s">
        <v>24</v>
      </c>
      <c r="J374" s="54" t="s">
        <v>18</v>
      </c>
      <c r="K374" s="54" t="s">
        <v>18</v>
      </c>
      <c r="L374" s="54" t="s">
        <v>20</v>
      </c>
      <c r="M374" s="54" t="s">
        <v>37</v>
      </c>
      <c r="N374" s="54" t="s">
        <v>18</v>
      </c>
      <c r="O374" s="54" t="s">
        <v>24</v>
      </c>
      <c r="P374" s="54" t="s">
        <v>22</v>
      </c>
      <c r="Q374" s="54" t="s">
        <v>46</v>
      </c>
      <c r="R374" s="150"/>
      <c r="S374" s="63" t="s">
        <v>0</v>
      </c>
      <c r="T374" s="1">
        <v>58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59">
        <f t="shared" si="104"/>
        <v>58</v>
      </c>
      <c r="AB374" s="58">
        <v>2018</v>
      </c>
      <c r="AC374" s="9"/>
      <c r="AD374" s="101"/>
      <c r="AE374" s="101"/>
    </row>
    <row r="375" spans="1:31" ht="15.6" hidden="1" customHeight="1" x14ac:dyDescent="0.25">
      <c r="A375" s="54" t="s">
        <v>18</v>
      </c>
      <c r="B375" s="54" t="s">
        <v>18</v>
      </c>
      <c r="C375" s="54" t="s">
        <v>21</v>
      </c>
      <c r="D375" s="54" t="s">
        <v>18</v>
      </c>
      <c r="E375" s="54" t="s">
        <v>21</v>
      </c>
      <c r="F375" s="54" t="s">
        <v>18</v>
      </c>
      <c r="G375" s="54" t="s">
        <v>22</v>
      </c>
      <c r="H375" s="54" t="s">
        <v>19</v>
      </c>
      <c r="I375" s="54" t="s">
        <v>24</v>
      </c>
      <c r="J375" s="54" t="s">
        <v>18</v>
      </c>
      <c r="K375" s="54" t="s">
        <v>18</v>
      </c>
      <c r="L375" s="54" t="s">
        <v>20</v>
      </c>
      <c r="M375" s="54" t="s">
        <v>37</v>
      </c>
      <c r="N375" s="54" t="s">
        <v>18</v>
      </c>
      <c r="O375" s="54" t="s">
        <v>24</v>
      </c>
      <c r="P375" s="54" t="s">
        <v>22</v>
      </c>
      <c r="Q375" s="54" t="s">
        <v>46</v>
      </c>
      <c r="R375" s="150"/>
      <c r="S375" s="63" t="s">
        <v>0</v>
      </c>
      <c r="T375" s="1">
        <v>353.3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59">
        <f t="shared" si="104"/>
        <v>353.3</v>
      </c>
      <c r="AB375" s="58">
        <v>2018</v>
      </c>
      <c r="AC375" s="86"/>
      <c r="AD375" s="101"/>
      <c r="AE375" s="101"/>
    </row>
    <row r="376" spans="1:31" ht="15.6" hidden="1" customHeight="1" x14ac:dyDescent="0.25">
      <c r="A376" s="54" t="s">
        <v>18</v>
      </c>
      <c r="B376" s="54" t="s">
        <v>18</v>
      </c>
      <c r="C376" s="54" t="s">
        <v>21</v>
      </c>
      <c r="D376" s="54" t="s">
        <v>18</v>
      </c>
      <c r="E376" s="54" t="s">
        <v>21</v>
      </c>
      <c r="F376" s="54" t="s">
        <v>18</v>
      </c>
      <c r="G376" s="54" t="s">
        <v>22</v>
      </c>
      <c r="H376" s="54" t="s">
        <v>19</v>
      </c>
      <c r="I376" s="54" t="s">
        <v>24</v>
      </c>
      <c r="J376" s="54" t="s">
        <v>18</v>
      </c>
      <c r="K376" s="54" t="s">
        <v>18</v>
      </c>
      <c r="L376" s="54" t="s">
        <v>20</v>
      </c>
      <c r="M376" s="54" t="s">
        <v>37</v>
      </c>
      <c r="N376" s="54" t="s">
        <v>18</v>
      </c>
      <c r="O376" s="54" t="s">
        <v>24</v>
      </c>
      <c r="P376" s="54" t="s">
        <v>22</v>
      </c>
      <c r="Q376" s="54" t="s">
        <v>39</v>
      </c>
      <c r="R376" s="150"/>
      <c r="S376" s="63" t="s">
        <v>0</v>
      </c>
      <c r="T376" s="1">
        <v>321.2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59">
        <f t="shared" si="104"/>
        <v>321.2</v>
      </c>
      <c r="AB376" s="58">
        <v>2018</v>
      </c>
      <c r="AC376" s="9"/>
      <c r="AD376" s="101"/>
      <c r="AE376" s="101"/>
    </row>
    <row r="377" spans="1:31" ht="27.6" hidden="1" customHeight="1" x14ac:dyDescent="0.25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88" t="s">
        <v>230</v>
      </c>
      <c r="S377" s="84" t="s">
        <v>8</v>
      </c>
      <c r="T377" s="44">
        <v>1</v>
      </c>
      <c r="U377" s="44">
        <v>0</v>
      </c>
      <c r="V377" s="44">
        <v>0</v>
      </c>
      <c r="W377" s="44">
        <v>0</v>
      </c>
      <c r="X377" s="44">
        <v>0</v>
      </c>
      <c r="Y377" s="44">
        <v>0</v>
      </c>
      <c r="Z377" s="44">
        <v>0</v>
      </c>
      <c r="AA377" s="49">
        <f t="shared" si="104"/>
        <v>1</v>
      </c>
      <c r="AB377" s="41">
        <v>2018</v>
      </c>
      <c r="AC377" s="9"/>
      <c r="AD377" s="101"/>
      <c r="AE377" s="101"/>
    </row>
    <row r="378" spans="1:31" ht="15.6" hidden="1" customHeight="1" x14ac:dyDescent="0.25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150" t="s">
        <v>231</v>
      </c>
      <c r="S378" s="63" t="s">
        <v>0</v>
      </c>
      <c r="T378" s="1">
        <f>SUM(T379:T382)</f>
        <v>979.3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59">
        <f t="shared" si="104"/>
        <v>979.3</v>
      </c>
      <c r="AB378" s="58">
        <v>2018</v>
      </c>
      <c r="AC378" s="9"/>
      <c r="AD378" s="101"/>
      <c r="AE378" s="101"/>
    </row>
    <row r="379" spans="1:31" ht="15.6" hidden="1" customHeight="1" x14ac:dyDescent="0.25">
      <c r="A379" s="54" t="s">
        <v>18</v>
      </c>
      <c r="B379" s="54" t="s">
        <v>18</v>
      </c>
      <c r="C379" s="54" t="s">
        <v>21</v>
      </c>
      <c r="D379" s="54" t="s">
        <v>18</v>
      </c>
      <c r="E379" s="54" t="s">
        <v>21</v>
      </c>
      <c r="F379" s="54" t="s">
        <v>18</v>
      </c>
      <c r="G379" s="54" t="s">
        <v>22</v>
      </c>
      <c r="H379" s="54" t="s">
        <v>19</v>
      </c>
      <c r="I379" s="54" t="s">
        <v>24</v>
      </c>
      <c r="J379" s="54" t="s">
        <v>18</v>
      </c>
      <c r="K379" s="54" t="s">
        <v>18</v>
      </c>
      <c r="L379" s="54" t="s">
        <v>20</v>
      </c>
      <c r="M379" s="54" t="s">
        <v>19</v>
      </c>
      <c r="N379" s="54" t="s">
        <v>18</v>
      </c>
      <c r="O379" s="54" t="s">
        <v>24</v>
      </c>
      <c r="P379" s="54" t="s">
        <v>22</v>
      </c>
      <c r="Q379" s="54" t="s">
        <v>45</v>
      </c>
      <c r="R379" s="150"/>
      <c r="S379" s="63" t="s">
        <v>0</v>
      </c>
      <c r="T379" s="1">
        <v>391.7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59">
        <f t="shared" si="104"/>
        <v>391.7</v>
      </c>
      <c r="AB379" s="58">
        <v>2018</v>
      </c>
      <c r="AC379" s="9"/>
      <c r="AD379" s="101"/>
      <c r="AE379" s="101"/>
    </row>
    <row r="380" spans="1:31" ht="15.6" hidden="1" customHeight="1" x14ac:dyDescent="0.25">
      <c r="A380" s="54" t="s">
        <v>18</v>
      </c>
      <c r="B380" s="54" t="s">
        <v>18</v>
      </c>
      <c r="C380" s="54" t="s">
        <v>21</v>
      </c>
      <c r="D380" s="54" t="s">
        <v>18</v>
      </c>
      <c r="E380" s="54" t="s">
        <v>21</v>
      </c>
      <c r="F380" s="54" t="s">
        <v>18</v>
      </c>
      <c r="G380" s="54" t="s">
        <v>22</v>
      </c>
      <c r="H380" s="54" t="s">
        <v>19</v>
      </c>
      <c r="I380" s="54" t="s">
        <v>24</v>
      </c>
      <c r="J380" s="54" t="s">
        <v>18</v>
      </c>
      <c r="K380" s="54" t="s">
        <v>18</v>
      </c>
      <c r="L380" s="54" t="s">
        <v>20</v>
      </c>
      <c r="M380" s="54" t="s">
        <v>37</v>
      </c>
      <c r="N380" s="54" t="s">
        <v>18</v>
      </c>
      <c r="O380" s="54" t="s">
        <v>43</v>
      </c>
      <c r="P380" s="54" t="s">
        <v>22</v>
      </c>
      <c r="Q380" s="54" t="s">
        <v>178</v>
      </c>
      <c r="R380" s="150"/>
      <c r="S380" s="63" t="s">
        <v>0</v>
      </c>
      <c r="T380" s="1">
        <v>30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59">
        <f t="shared" si="104"/>
        <v>30</v>
      </c>
      <c r="AB380" s="58">
        <v>2018</v>
      </c>
      <c r="AC380" s="9"/>
      <c r="AD380" s="101"/>
      <c r="AE380" s="101"/>
    </row>
    <row r="381" spans="1:31" ht="15.6" hidden="1" customHeight="1" x14ac:dyDescent="0.25">
      <c r="A381" s="54" t="s">
        <v>18</v>
      </c>
      <c r="B381" s="54" t="s">
        <v>18</v>
      </c>
      <c r="C381" s="54" t="s">
        <v>21</v>
      </c>
      <c r="D381" s="54" t="s">
        <v>18</v>
      </c>
      <c r="E381" s="54" t="s">
        <v>21</v>
      </c>
      <c r="F381" s="54" t="s">
        <v>18</v>
      </c>
      <c r="G381" s="54" t="s">
        <v>22</v>
      </c>
      <c r="H381" s="54" t="s">
        <v>19</v>
      </c>
      <c r="I381" s="54" t="s">
        <v>24</v>
      </c>
      <c r="J381" s="54" t="s">
        <v>18</v>
      </c>
      <c r="K381" s="54" t="s">
        <v>18</v>
      </c>
      <c r="L381" s="54" t="s">
        <v>20</v>
      </c>
      <c r="M381" s="54" t="s">
        <v>37</v>
      </c>
      <c r="N381" s="54" t="s">
        <v>18</v>
      </c>
      <c r="O381" s="54" t="s">
        <v>24</v>
      </c>
      <c r="P381" s="54" t="s">
        <v>22</v>
      </c>
      <c r="Q381" s="54" t="s">
        <v>46</v>
      </c>
      <c r="R381" s="150"/>
      <c r="S381" s="63" t="s">
        <v>0</v>
      </c>
      <c r="T381" s="1">
        <v>205.6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59">
        <f t="shared" si="104"/>
        <v>205.6</v>
      </c>
      <c r="AB381" s="58">
        <v>2018</v>
      </c>
      <c r="AC381" s="9"/>
      <c r="AD381" s="101"/>
      <c r="AE381" s="101"/>
    </row>
    <row r="382" spans="1:31" ht="15.6" hidden="1" customHeight="1" x14ac:dyDescent="0.25">
      <c r="A382" s="54" t="s">
        <v>18</v>
      </c>
      <c r="B382" s="54" t="s">
        <v>18</v>
      </c>
      <c r="C382" s="54" t="s">
        <v>21</v>
      </c>
      <c r="D382" s="54" t="s">
        <v>18</v>
      </c>
      <c r="E382" s="54" t="s">
        <v>21</v>
      </c>
      <c r="F382" s="54" t="s">
        <v>18</v>
      </c>
      <c r="G382" s="54" t="s">
        <v>22</v>
      </c>
      <c r="H382" s="54" t="s">
        <v>19</v>
      </c>
      <c r="I382" s="54" t="s">
        <v>24</v>
      </c>
      <c r="J382" s="54" t="s">
        <v>18</v>
      </c>
      <c r="K382" s="54" t="s">
        <v>18</v>
      </c>
      <c r="L382" s="54" t="s">
        <v>20</v>
      </c>
      <c r="M382" s="54" t="s">
        <v>37</v>
      </c>
      <c r="N382" s="54" t="s">
        <v>18</v>
      </c>
      <c r="O382" s="54" t="s">
        <v>24</v>
      </c>
      <c r="P382" s="54" t="s">
        <v>22</v>
      </c>
      <c r="Q382" s="54" t="s">
        <v>39</v>
      </c>
      <c r="R382" s="150"/>
      <c r="S382" s="63" t="s">
        <v>0</v>
      </c>
      <c r="T382" s="1">
        <v>352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59">
        <f t="shared" si="104"/>
        <v>352</v>
      </c>
      <c r="AB382" s="58">
        <v>2018</v>
      </c>
      <c r="AC382" s="9"/>
      <c r="AD382" s="101"/>
      <c r="AE382" s="101"/>
    </row>
    <row r="383" spans="1:31" ht="31.15" hidden="1" customHeight="1" x14ac:dyDescent="0.25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80" t="s">
        <v>232</v>
      </c>
      <c r="S383" s="84" t="s">
        <v>175</v>
      </c>
      <c r="T383" s="3">
        <v>356.5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6">
        <f t="shared" si="104"/>
        <v>356.5</v>
      </c>
      <c r="AB383" s="41">
        <v>2018</v>
      </c>
      <c r="AC383" s="9"/>
      <c r="AD383" s="101"/>
      <c r="AE383" s="101"/>
    </row>
    <row r="384" spans="1:31" ht="15.6" hidden="1" customHeight="1" x14ac:dyDescent="0.25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150" t="s">
        <v>233</v>
      </c>
      <c r="S384" s="63" t="s">
        <v>0</v>
      </c>
      <c r="T384" s="1">
        <f>SUM(T385:T388)</f>
        <v>695.4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59">
        <f t="shared" si="104"/>
        <v>695.4</v>
      </c>
      <c r="AB384" s="58">
        <v>2018</v>
      </c>
      <c r="AC384" s="9"/>
      <c r="AD384" s="101"/>
      <c r="AE384" s="101"/>
    </row>
    <row r="385" spans="1:31" ht="15.6" hidden="1" customHeight="1" x14ac:dyDescent="0.25">
      <c r="A385" s="54" t="s">
        <v>18</v>
      </c>
      <c r="B385" s="54" t="s">
        <v>18</v>
      </c>
      <c r="C385" s="54" t="s">
        <v>21</v>
      </c>
      <c r="D385" s="54" t="s">
        <v>18</v>
      </c>
      <c r="E385" s="54" t="s">
        <v>21</v>
      </c>
      <c r="F385" s="54" t="s">
        <v>18</v>
      </c>
      <c r="G385" s="54" t="s">
        <v>22</v>
      </c>
      <c r="H385" s="54" t="s">
        <v>19</v>
      </c>
      <c r="I385" s="54" t="s">
        <v>24</v>
      </c>
      <c r="J385" s="54" t="s">
        <v>18</v>
      </c>
      <c r="K385" s="54" t="s">
        <v>18</v>
      </c>
      <c r="L385" s="54" t="s">
        <v>20</v>
      </c>
      <c r="M385" s="54" t="s">
        <v>19</v>
      </c>
      <c r="N385" s="54" t="s">
        <v>18</v>
      </c>
      <c r="O385" s="54" t="s">
        <v>24</v>
      </c>
      <c r="P385" s="54" t="s">
        <v>22</v>
      </c>
      <c r="Q385" s="54" t="s">
        <v>45</v>
      </c>
      <c r="R385" s="150"/>
      <c r="S385" s="63" t="s">
        <v>0</v>
      </c>
      <c r="T385" s="1">
        <v>278.2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59">
        <f t="shared" si="104"/>
        <v>278.2</v>
      </c>
      <c r="AB385" s="58">
        <v>2018</v>
      </c>
      <c r="AC385" s="9"/>
      <c r="AD385" s="101"/>
      <c r="AE385" s="101"/>
    </row>
    <row r="386" spans="1:31" ht="15.6" hidden="1" customHeight="1" x14ac:dyDescent="0.25">
      <c r="A386" s="54" t="s">
        <v>18</v>
      </c>
      <c r="B386" s="54" t="s">
        <v>18</v>
      </c>
      <c r="C386" s="54" t="s">
        <v>21</v>
      </c>
      <c r="D386" s="54" t="s">
        <v>18</v>
      </c>
      <c r="E386" s="54" t="s">
        <v>21</v>
      </c>
      <c r="F386" s="54" t="s">
        <v>18</v>
      </c>
      <c r="G386" s="54" t="s">
        <v>22</v>
      </c>
      <c r="H386" s="54" t="s">
        <v>19</v>
      </c>
      <c r="I386" s="54" t="s">
        <v>24</v>
      </c>
      <c r="J386" s="54" t="s">
        <v>18</v>
      </c>
      <c r="K386" s="54" t="s">
        <v>18</v>
      </c>
      <c r="L386" s="54" t="s">
        <v>20</v>
      </c>
      <c r="M386" s="54" t="s">
        <v>37</v>
      </c>
      <c r="N386" s="54" t="s">
        <v>18</v>
      </c>
      <c r="O386" s="54" t="s">
        <v>43</v>
      </c>
      <c r="P386" s="54" t="s">
        <v>22</v>
      </c>
      <c r="Q386" s="54" t="s">
        <v>178</v>
      </c>
      <c r="R386" s="150"/>
      <c r="S386" s="63" t="s">
        <v>0</v>
      </c>
      <c r="T386" s="1">
        <v>20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59">
        <f t="shared" si="104"/>
        <v>20</v>
      </c>
      <c r="AB386" s="58">
        <v>2018</v>
      </c>
      <c r="AC386" s="9"/>
      <c r="AD386" s="101"/>
      <c r="AE386" s="101"/>
    </row>
    <row r="387" spans="1:31" ht="15.6" hidden="1" customHeight="1" x14ac:dyDescent="0.25">
      <c r="A387" s="54" t="s">
        <v>18</v>
      </c>
      <c r="B387" s="54" t="s">
        <v>18</v>
      </c>
      <c r="C387" s="54" t="s">
        <v>21</v>
      </c>
      <c r="D387" s="54" t="s">
        <v>18</v>
      </c>
      <c r="E387" s="54" t="s">
        <v>21</v>
      </c>
      <c r="F387" s="54" t="s">
        <v>18</v>
      </c>
      <c r="G387" s="54" t="s">
        <v>22</v>
      </c>
      <c r="H387" s="54" t="s">
        <v>19</v>
      </c>
      <c r="I387" s="54" t="s">
        <v>24</v>
      </c>
      <c r="J387" s="54" t="s">
        <v>18</v>
      </c>
      <c r="K387" s="54" t="s">
        <v>18</v>
      </c>
      <c r="L387" s="54" t="s">
        <v>20</v>
      </c>
      <c r="M387" s="54" t="s">
        <v>37</v>
      </c>
      <c r="N387" s="54" t="s">
        <v>18</v>
      </c>
      <c r="O387" s="54" t="s">
        <v>24</v>
      </c>
      <c r="P387" s="54" t="s">
        <v>22</v>
      </c>
      <c r="Q387" s="54" t="s">
        <v>46</v>
      </c>
      <c r="R387" s="150"/>
      <c r="S387" s="63" t="s">
        <v>0</v>
      </c>
      <c r="T387" s="1">
        <v>104.3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59">
        <f t="shared" si="104"/>
        <v>104.3</v>
      </c>
      <c r="AB387" s="58">
        <v>2018</v>
      </c>
      <c r="AC387" s="9"/>
      <c r="AD387" s="101"/>
      <c r="AE387" s="101"/>
    </row>
    <row r="388" spans="1:31" ht="15.6" hidden="1" customHeight="1" x14ac:dyDescent="0.25">
      <c r="A388" s="54" t="s">
        <v>18</v>
      </c>
      <c r="B388" s="54" t="s">
        <v>18</v>
      </c>
      <c r="C388" s="54" t="s">
        <v>21</v>
      </c>
      <c r="D388" s="54" t="s">
        <v>18</v>
      </c>
      <c r="E388" s="54" t="s">
        <v>21</v>
      </c>
      <c r="F388" s="54" t="s">
        <v>18</v>
      </c>
      <c r="G388" s="54" t="s">
        <v>22</v>
      </c>
      <c r="H388" s="54" t="s">
        <v>19</v>
      </c>
      <c r="I388" s="54" t="s">
        <v>24</v>
      </c>
      <c r="J388" s="54" t="s">
        <v>18</v>
      </c>
      <c r="K388" s="54" t="s">
        <v>18</v>
      </c>
      <c r="L388" s="54" t="s">
        <v>20</v>
      </c>
      <c r="M388" s="54" t="s">
        <v>37</v>
      </c>
      <c r="N388" s="54" t="s">
        <v>18</v>
      </c>
      <c r="O388" s="54" t="s">
        <v>24</v>
      </c>
      <c r="P388" s="54" t="s">
        <v>22</v>
      </c>
      <c r="Q388" s="54" t="s">
        <v>39</v>
      </c>
      <c r="R388" s="150"/>
      <c r="S388" s="63" t="s">
        <v>0</v>
      </c>
      <c r="T388" s="1">
        <v>292.89999999999998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59">
        <f t="shared" si="104"/>
        <v>292.89999999999998</v>
      </c>
      <c r="AB388" s="58">
        <v>2018</v>
      </c>
      <c r="AC388" s="9"/>
      <c r="AD388" s="101"/>
      <c r="AE388" s="101"/>
    </row>
    <row r="389" spans="1:31" ht="31.15" hidden="1" customHeight="1" x14ac:dyDescent="0.25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78" t="s">
        <v>234</v>
      </c>
      <c r="S389" s="89" t="s">
        <v>180</v>
      </c>
      <c r="T389" s="3">
        <v>190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6">
        <f t="shared" si="104"/>
        <v>190</v>
      </c>
      <c r="AB389" s="41">
        <v>2018</v>
      </c>
      <c r="AC389" s="9"/>
      <c r="AD389" s="101"/>
      <c r="AE389" s="101"/>
    </row>
    <row r="390" spans="1:31" ht="15.6" hidden="1" customHeight="1" x14ac:dyDescent="0.25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150" t="s">
        <v>235</v>
      </c>
      <c r="S390" s="63" t="s">
        <v>0</v>
      </c>
      <c r="T390" s="1">
        <f>SUM(T391:T395)</f>
        <v>836.4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59">
        <f t="shared" si="104"/>
        <v>836.4</v>
      </c>
      <c r="AB390" s="58">
        <v>2018</v>
      </c>
      <c r="AC390" s="9"/>
      <c r="AD390" s="101"/>
      <c r="AE390" s="101"/>
    </row>
    <row r="391" spans="1:31" ht="15.6" hidden="1" customHeight="1" x14ac:dyDescent="0.25">
      <c r="A391" s="54" t="s">
        <v>18</v>
      </c>
      <c r="B391" s="54" t="s">
        <v>18</v>
      </c>
      <c r="C391" s="54" t="s">
        <v>21</v>
      </c>
      <c r="D391" s="54" t="s">
        <v>18</v>
      </c>
      <c r="E391" s="54" t="s">
        <v>21</v>
      </c>
      <c r="F391" s="54" t="s">
        <v>18</v>
      </c>
      <c r="G391" s="54" t="s">
        <v>22</v>
      </c>
      <c r="H391" s="54" t="s">
        <v>19</v>
      </c>
      <c r="I391" s="54" t="s">
        <v>24</v>
      </c>
      <c r="J391" s="54" t="s">
        <v>18</v>
      </c>
      <c r="K391" s="54" t="s">
        <v>18</v>
      </c>
      <c r="L391" s="54" t="s">
        <v>20</v>
      </c>
      <c r="M391" s="54" t="s">
        <v>19</v>
      </c>
      <c r="N391" s="54" t="s">
        <v>18</v>
      </c>
      <c r="O391" s="54" t="s">
        <v>24</v>
      </c>
      <c r="P391" s="54" t="s">
        <v>22</v>
      </c>
      <c r="Q391" s="54" t="s">
        <v>45</v>
      </c>
      <c r="R391" s="150"/>
      <c r="S391" s="63" t="s">
        <v>0</v>
      </c>
      <c r="T391" s="1">
        <v>334.5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59">
        <f t="shared" si="104"/>
        <v>334.5</v>
      </c>
      <c r="AB391" s="58">
        <v>2018</v>
      </c>
      <c r="AC391" s="9"/>
      <c r="AD391" s="101"/>
      <c r="AE391" s="101"/>
    </row>
    <row r="392" spans="1:31" ht="15.6" hidden="1" customHeight="1" x14ac:dyDescent="0.25">
      <c r="A392" s="54" t="s">
        <v>18</v>
      </c>
      <c r="B392" s="54" t="s">
        <v>18</v>
      </c>
      <c r="C392" s="54" t="s">
        <v>21</v>
      </c>
      <c r="D392" s="54" t="s">
        <v>18</v>
      </c>
      <c r="E392" s="54" t="s">
        <v>21</v>
      </c>
      <c r="F392" s="54" t="s">
        <v>18</v>
      </c>
      <c r="G392" s="54" t="s">
        <v>22</v>
      </c>
      <c r="H392" s="54" t="s">
        <v>19</v>
      </c>
      <c r="I392" s="54" t="s">
        <v>24</v>
      </c>
      <c r="J392" s="54" t="s">
        <v>18</v>
      </c>
      <c r="K392" s="54" t="s">
        <v>18</v>
      </c>
      <c r="L392" s="54" t="s">
        <v>20</v>
      </c>
      <c r="M392" s="54" t="s">
        <v>19</v>
      </c>
      <c r="N392" s="54" t="s">
        <v>18</v>
      </c>
      <c r="O392" s="54" t="s">
        <v>43</v>
      </c>
      <c r="P392" s="54" t="s">
        <v>22</v>
      </c>
      <c r="Q392" s="54" t="s">
        <v>178</v>
      </c>
      <c r="R392" s="150"/>
      <c r="S392" s="63" t="s">
        <v>0</v>
      </c>
      <c r="T392" s="1">
        <v>30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59">
        <f>SUM(T392:Y392)</f>
        <v>30</v>
      </c>
      <c r="AB392" s="58">
        <v>2018</v>
      </c>
      <c r="AC392" s="9"/>
      <c r="AD392" s="101"/>
      <c r="AE392" s="101"/>
    </row>
    <row r="393" spans="1:31" ht="15.6" hidden="1" customHeight="1" x14ac:dyDescent="0.25">
      <c r="A393" s="54" t="s">
        <v>18</v>
      </c>
      <c r="B393" s="54" t="s">
        <v>18</v>
      </c>
      <c r="C393" s="54" t="s">
        <v>21</v>
      </c>
      <c r="D393" s="54" t="s">
        <v>18</v>
      </c>
      <c r="E393" s="54" t="s">
        <v>21</v>
      </c>
      <c r="F393" s="54" t="s">
        <v>18</v>
      </c>
      <c r="G393" s="54" t="s">
        <v>22</v>
      </c>
      <c r="H393" s="54" t="s">
        <v>19</v>
      </c>
      <c r="I393" s="54" t="s">
        <v>24</v>
      </c>
      <c r="J393" s="54" t="s">
        <v>18</v>
      </c>
      <c r="K393" s="54" t="s">
        <v>18</v>
      </c>
      <c r="L393" s="54" t="s">
        <v>20</v>
      </c>
      <c r="M393" s="54" t="s">
        <v>37</v>
      </c>
      <c r="N393" s="54" t="s">
        <v>18</v>
      </c>
      <c r="O393" s="54" t="s">
        <v>24</v>
      </c>
      <c r="P393" s="54" t="s">
        <v>22</v>
      </c>
      <c r="Q393" s="54" t="s">
        <v>46</v>
      </c>
      <c r="R393" s="150"/>
      <c r="S393" s="63" t="s">
        <v>0</v>
      </c>
      <c r="T393" s="1">
        <v>16.399999999999999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59">
        <f t="shared" si="104"/>
        <v>16.399999999999999</v>
      </c>
      <c r="AB393" s="58">
        <v>2018</v>
      </c>
      <c r="AC393" s="9"/>
      <c r="AD393" s="101"/>
      <c r="AE393" s="101"/>
    </row>
    <row r="394" spans="1:31" ht="15.6" hidden="1" customHeight="1" x14ac:dyDescent="0.25">
      <c r="A394" s="54" t="s">
        <v>18</v>
      </c>
      <c r="B394" s="54" t="s">
        <v>18</v>
      </c>
      <c r="C394" s="54" t="s">
        <v>21</v>
      </c>
      <c r="D394" s="54" t="s">
        <v>18</v>
      </c>
      <c r="E394" s="54" t="s">
        <v>21</v>
      </c>
      <c r="F394" s="54" t="s">
        <v>18</v>
      </c>
      <c r="G394" s="54" t="s">
        <v>22</v>
      </c>
      <c r="H394" s="54" t="s">
        <v>19</v>
      </c>
      <c r="I394" s="54" t="s">
        <v>24</v>
      </c>
      <c r="J394" s="54" t="s">
        <v>18</v>
      </c>
      <c r="K394" s="54" t="s">
        <v>18</v>
      </c>
      <c r="L394" s="54" t="s">
        <v>20</v>
      </c>
      <c r="M394" s="54" t="s">
        <v>37</v>
      </c>
      <c r="N394" s="54" t="s">
        <v>18</v>
      </c>
      <c r="O394" s="54" t="s">
        <v>24</v>
      </c>
      <c r="P394" s="54" t="s">
        <v>22</v>
      </c>
      <c r="Q394" s="54" t="s">
        <v>46</v>
      </c>
      <c r="R394" s="150"/>
      <c r="S394" s="63" t="s">
        <v>0</v>
      </c>
      <c r="T394" s="1">
        <v>125.5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59">
        <f t="shared" si="104"/>
        <v>125.5</v>
      </c>
      <c r="AB394" s="58">
        <v>2018</v>
      </c>
      <c r="AC394" s="9"/>
      <c r="AD394" s="101"/>
      <c r="AE394" s="101"/>
    </row>
    <row r="395" spans="1:31" ht="15.6" hidden="1" customHeight="1" x14ac:dyDescent="0.25">
      <c r="A395" s="54" t="s">
        <v>18</v>
      </c>
      <c r="B395" s="54" t="s">
        <v>18</v>
      </c>
      <c r="C395" s="54" t="s">
        <v>21</v>
      </c>
      <c r="D395" s="54" t="s">
        <v>18</v>
      </c>
      <c r="E395" s="54" t="s">
        <v>21</v>
      </c>
      <c r="F395" s="54" t="s">
        <v>18</v>
      </c>
      <c r="G395" s="54" t="s">
        <v>22</v>
      </c>
      <c r="H395" s="54" t="s">
        <v>19</v>
      </c>
      <c r="I395" s="54" t="s">
        <v>24</v>
      </c>
      <c r="J395" s="54" t="s">
        <v>18</v>
      </c>
      <c r="K395" s="54" t="s">
        <v>18</v>
      </c>
      <c r="L395" s="54" t="s">
        <v>20</v>
      </c>
      <c r="M395" s="54" t="s">
        <v>37</v>
      </c>
      <c r="N395" s="54" t="s">
        <v>18</v>
      </c>
      <c r="O395" s="54" t="s">
        <v>24</v>
      </c>
      <c r="P395" s="54" t="s">
        <v>22</v>
      </c>
      <c r="Q395" s="54" t="s">
        <v>39</v>
      </c>
      <c r="R395" s="150"/>
      <c r="S395" s="63" t="s">
        <v>0</v>
      </c>
      <c r="T395" s="1">
        <v>330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59">
        <f t="shared" si="104"/>
        <v>330</v>
      </c>
      <c r="AB395" s="58">
        <v>2018</v>
      </c>
      <c r="AC395" s="9"/>
      <c r="AD395" s="101"/>
      <c r="AE395" s="101"/>
    </row>
    <row r="396" spans="1:31" ht="27.6" hidden="1" customHeight="1" x14ac:dyDescent="0.25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88" t="s">
        <v>236</v>
      </c>
      <c r="S396" s="84" t="s">
        <v>8</v>
      </c>
      <c r="T396" s="44">
        <v>1</v>
      </c>
      <c r="U396" s="44">
        <v>0</v>
      </c>
      <c r="V396" s="44">
        <v>0</v>
      </c>
      <c r="W396" s="44">
        <v>0</v>
      </c>
      <c r="X396" s="44">
        <v>0</v>
      </c>
      <c r="Y396" s="44">
        <v>0</v>
      </c>
      <c r="Z396" s="44">
        <v>0</v>
      </c>
      <c r="AA396" s="6">
        <f t="shared" si="104"/>
        <v>1</v>
      </c>
      <c r="AB396" s="41">
        <v>2018</v>
      </c>
      <c r="AC396" s="9"/>
      <c r="AD396" s="101"/>
      <c r="AE396" s="101"/>
    </row>
    <row r="397" spans="1:31" ht="15.6" customHeight="1" x14ac:dyDescent="0.25">
      <c r="A397" s="54" t="s">
        <v>18</v>
      </c>
      <c r="B397" s="54" t="s">
        <v>18</v>
      </c>
      <c r="C397" s="54" t="s">
        <v>25</v>
      </c>
      <c r="D397" s="54" t="s">
        <v>18</v>
      </c>
      <c r="E397" s="54" t="s">
        <v>18</v>
      </c>
      <c r="F397" s="54" t="s">
        <v>18</v>
      </c>
      <c r="G397" s="54" t="s">
        <v>18</v>
      </c>
      <c r="H397" s="54" t="s">
        <v>19</v>
      </c>
      <c r="I397" s="54" t="s">
        <v>24</v>
      </c>
      <c r="J397" s="54" t="s">
        <v>18</v>
      </c>
      <c r="K397" s="54" t="s">
        <v>18</v>
      </c>
      <c r="L397" s="54" t="s">
        <v>20</v>
      </c>
      <c r="M397" s="54" t="s">
        <v>18</v>
      </c>
      <c r="N397" s="54" t="s">
        <v>18</v>
      </c>
      <c r="O397" s="54" t="s">
        <v>18</v>
      </c>
      <c r="P397" s="54" t="s">
        <v>18</v>
      </c>
      <c r="Q397" s="54" t="s">
        <v>18</v>
      </c>
      <c r="R397" s="150" t="s">
        <v>140</v>
      </c>
      <c r="S397" s="63" t="s">
        <v>0</v>
      </c>
      <c r="T397" s="59">
        <f>SUM(T398:T400)</f>
        <v>6913.9150000000009</v>
      </c>
      <c r="U397" s="59">
        <f>SUM(U398:U402)</f>
        <v>3765.5</v>
      </c>
      <c r="V397" s="59">
        <f>SUM(V398:V402)</f>
        <v>1745.5</v>
      </c>
      <c r="W397" s="59">
        <v>0</v>
      </c>
      <c r="X397" s="59">
        <v>0</v>
      </c>
      <c r="Y397" s="59">
        <v>0</v>
      </c>
      <c r="Z397" s="59">
        <v>0</v>
      </c>
      <c r="AA397" s="59">
        <f t="shared" ref="AA397:AA405" si="105">SUM(T397:Y397)</f>
        <v>12424.915000000001</v>
      </c>
      <c r="AB397" s="58">
        <v>2020</v>
      </c>
      <c r="AC397" s="124"/>
      <c r="AD397" s="101"/>
      <c r="AE397" s="101"/>
    </row>
    <row r="398" spans="1:31" x14ac:dyDescent="0.25">
      <c r="A398" s="54" t="s">
        <v>18</v>
      </c>
      <c r="B398" s="54" t="s">
        <v>18</v>
      </c>
      <c r="C398" s="54" t="s">
        <v>25</v>
      </c>
      <c r="D398" s="54" t="s">
        <v>18</v>
      </c>
      <c r="E398" s="54" t="s">
        <v>18</v>
      </c>
      <c r="F398" s="54" t="s">
        <v>18</v>
      </c>
      <c r="G398" s="54" t="s">
        <v>18</v>
      </c>
      <c r="H398" s="54" t="s">
        <v>19</v>
      </c>
      <c r="I398" s="54" t="s">
        <v>24</v>
      </c>
      <c r="J398" s="54" t="s">
        <v>18</v>
      </c>
      <c r="K398" s="54" t="s">
        <v>18</v>
      </c>
      <c r="L398" s="54" t="s">
        <v>20</v>
      </c>
      <c r="M398" s="54" t="s">
        <v>19</v>
      </c>
      <c r="N398" s="54" t="s">
        <v>18</v>
      </c>
      <c r="O398" s="54" t="s">
        <v>24</v>
      </c>
      <c r="P398" s="54" t="s">
        <v>22</v>
      </c>
      <c r="Q398" s="54" t="s">
        <v>45</v>
      </c>
      <c r="R398" s="150"/>
      <c r="S398" s="63" t="s">
        <v>0</v>
      </c>
      <c r="T398" s="1">
        <f>T407+T413+T419+T425+T431+T437+T442+T448+T454+T460+T466</f>
        <v>2886.915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59">
        <f t="shared" si="105"/>
        <v>2886.915</v>
      </c>
      <c r="AB398" s="58">
        <v>2018</v>
      </c>
      <c r="AC398" s="124"/>
      <c r="AD398" s="101"/>
      <c r="AE398" s="101"/>
    </row>
    <row r="399" spans="1:31" x14ac:dyDescent="0.25">
      <c r="A399" s="54" t="s">
        <v>18</v>
      </c>
      <c r="B399" s="54" t="s">
        <v>18</v>
      </c>
      <c r="C399" s="54" t="s">
        <v>25</v>
      </c>
      <c r="D399" s="54" t="s">
        <v>18</v>
      </c>
      <c r="E399" s="54" t="s">
        <v>18</v>
      </c>
      <c r="F399" s="54" t="s">
        <v>18</v>
      </c>
      <c r="G399" s="54" t="s">
        <v>18</v>
      </c>
      <c r="H399" s="54" t="s">
        <v>19</v>
      </c>
      <c r="I399" s="54" t="s">
        <v>24</v>
      </c>
      <c r="J399" s="54" t="s">
        <v>18</v>
      </c>
      <c r="K399" s="54" t="s">
        <v>18</v>
      </c>
      <c r="L399" s="54" t="s">
        <v>20</v>
      </c>
      <c r="M399" s="54" t="s">
        <v>37</v>
      </c>
      <c r="N399" s="54" t="s">
        <v>18</v>
      </c>
      <c r="O399" s="54" t="s">
        <v>24</v>
      </c>
      <c r="P399" s="54" t="s">
        <v>22</v>
      </c>
      <c r="Q399" s="54" t="s">
        <v>46</v>
      </c>
      <c r="R399" s="150"/>
      <c r="S399" s="63" t="s">
        <v>0</v>
      </c>
      <c r="T399" s="1">
        <f>T408+T409+T414+T415+T420+T421+T426+T427+T432+T433+T438+T443+T444+T449+T450+T455+T456+T461+T462+T467+T468</f>
        <v>1641.4</v>
      </c>
      <c r="U399" s="1">
        <v>868</v>
      </c>
      <c r="V399" s="1">
        <v>501.9</v>
      </c>
      <c r="W399" s="1">
        <v>0</v>
      </c>
      <c r="X399" s="1">
        <v>0</v>
      </c>
      <c r="Y399" s="1">
        <v>0</v>
      </c>
      <c r="Z399" s="1">
        <v>0</v>
      </c>
      <c r="AA399" s="59">
        <f t="shared" si="105"/>
        <v>3011.3</v>
      </c>
      <c r="AB399" s="58">
        <v>2020</v>
      </c>
      <c r="AC399" s="124"/>
      <c r="AD399" s="101"/>
      <c r="AE399" s="101"/>
    </row>
    <row r="400" spans="1:31" x14ac:dyDescent="0.25">
      <c r="A400" s="54" t="s">
        <v>18</v>
      </c>
      <c r="B400" s="54" t="s">
        <v>18</v>
      </c>
      <c r="C400" s="54" t="s">
        <v>25</v>
      </c>
      <c r="D400" s="54" t="s">
        <v>18</v>
      </c>
      <c r="E400" s="54" t="s">
        <v>18</v>
      </c>
      <c r="F400" s="54" t="s">
        <v>18</v>
      </c>
      <c r="G400" s="54" t="s">
        <v>18</v>
      </c>
      <c r="H400" s="54" t="s">
        <v>19</v>
      </c>
      <c r="I400" s="54" t="s">
        <v>24</v>
      </c>
      <c r="J400" s="54" t="s">
        <v>18</v>
      </c>
      <c r="K400" s="54" t="s">
        <v>18</v>
      </c>
      <c r="L400" s="54" t="s">
        <v>20</v>
      </c>
      <c r="M400" s="54" t="s">
        <v>37</v>
      </c>
      <c r="N400" s="54" t="s">
        <v>18</v>
      </c>
      <c r="O400" s="54" t="s">
        <v>24</v>
      </c>
      <c r="P400" s="54" t="s">
        <v>22</v>
      </c>
      <c r="Q400" s="54" t="s">
        <v>39</v>
      </c>
      <c r="R400" s="150"/>
      <c r="S400" s="63" t="s">
        <v>0</v>
      </c>
      <c r="T400" s="1">
        <v>2385.6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59">
        <f t="shared" si="105"/>
        <v>2385.6</v>
      </c>
      <c r="AB400" s="58">
        <v>2018</v>
      </c>
      <c r="AC400" s="124"/>
      <c r="AD400" s="101"/>
      <c r="AE400" s="101"/>
    </row>
    <row r="401" spans="1:31" x14ac:dyDescent="0.25">
      <c r="A401" s="54" t="s">
        <v>18</v>
      </c>
      <c r="B401" s="54" t="s">
        <v>18</v>
      </c>
      <c r="C401" s="54" t="s">
        <v>25</v>
      </c>
      <c r="D401" s="54" t="s">
        <v>18</v>
      </c>
      <c r="E401" s="54" t="s">
        <v>18</v>
      </c>
      <c r="F401" s="54" t="s">
        <v>18</v>
      </c>
      <c r="G401" s="54" t="s">
        <v>18</v>
      </c>
      <c r="H401" s="54" t="s">
        <v>19</v>
      </c>
      <c r="I401" s="54" t="s">
        <v>24</v>
      </c>
      <c r="J401" s="54" t="s">
        <v>18</v>
      </c>
      <c r="K401" s="54" t="s">
        <v>18</v>
      </c>
      <c r="L401" s="54" t="s">
        <v>20</v>
      </c>
      <c r="M401" s="54" t="s">
        <v>19</v>
      </c>
      <c r="N401" s="54" t="s">
        <v>18</v>
      </c>
      <c r="O401" s="54" t="s">
        <v>24</v>
      </c>
      <c r="P401" s="54" t="s">
        <v>22</v>
      </c>
      <c r="Q401" s="54" t="s">
        <v>18</v>
      </c>
      <c r="R401" s="150"/>
      <c r="S401" s="63" t="s">
        <v>0</v>
      </c>
      <c r="T401" s="1">
        <v>0</v>
      </c>
      <c r="U401" s="1">
        <f>1977-1.3</f>
        <v>1975.7</v>
      </c>
      <c r="V401" s="1">
        <f>968.2-585.9</f>
        <v>382.30000000000007</v>
      </c>
      <c r="W401" s="1">
        <v>0</v>
      </c>
      <c r="X401" s="1">
        <v>0</v>
      </c>
      <c r="Y401" s="1">
        <v>0</v>
      </c>
      <c r="Z401" s="1">
        <v>0</v>
      </c>
      <c r="AA401" s="59">
        <f t="shared" si="105"/>
        <v>2358</v>
      </c>
      <c r="AB401" s="58">
        <v>2020</v>
      </c>
      <c r="AC401" s="124"/>
      <c r="AD401" s="101"/>
      <c r="AE401" s="101"/>
    </row>
    <row r="402" spans="1:31" x14ac:dyDescent="0.25">
      <c r="A402" s="54" t="s">
        <v>18</v>
      </c>
      <c r="B402" s="54" t="s">
        <v>18</v>
      </c>
      <c r="C402" s="54" t="s">
        <v>25</v>
      </c>
      <c r="D402" s="54" t="s">
        <v>18</v>
      </c>
      <c r="E402" s="54" t="s">
        <v>18</v>
      </c>
      <c r="F402" s="54" t="s">
        <v>18</v>
      </c>
      <c r="G402" s="54" t="s">
        <v>18</v>
      </c>
      <c r="H402" s="54" t="s">
        <v>19</v>
      </c>
      <c r="I402" s="54" t="s">
        <v>24</v>
      </c>
      <c r="J402" s="54" t="s">
        <v>18</v>
      </c>
      <c r="K402" s="54" t="s">
        <v>18</v>
      </c>
      <c r="L402" s="54" t="s">
        <v>20</v>
      </c>
      <c r="M402" s="54" t="s">
        <v>37</v>
      </c>
      <c r="N402" s="54" t="s">
        <v>18</v>
      </c>
      <c r="O402" s="54" t="s">
        <v>24</v>
      </c>
      <c r="P402" s="54" t="s">
        <v>22</v>
      </c>
      <c r="Q402" s="54" t="s">
        <v>18</v>
      </c>
      <c r="R402" s="150"/>
      <c r="S402" s="63" t="s">
        <v>0</v>
      </c>
      <c r="T402" s="1">
        <v>0</v>
      </c>
      <c r="U402" s="1">
        <f>1119.1-197.3</f>
        <v>921.8</v>
      </c>
      <c r="V402" s="1">
        <f>466.5+457.8-63</f>
        <v>861.3</v>
      </c>
      <c r="W402" s="1">
        <v>0</v>
      </c>
      <c r="X402" s="1">
        <v>0</v>
      </c>
      <c r="Y402" s="1">
        <v>0</v>
      </c>
      <c r="Z402" s="1">
        <v>0</v>
      </c>
      <c r="AA402" s="59">
        <f t="shared" ref="AA402" si="106">SUM(T402:Y402)</f>
        <v>1783.1</v>
      </c>
      <c r="AB402" s="58">
        <v>2020</v>
      </c>
      <c r="AC402" s="124"/>
      <c r="AD402" s="101"/>
      <c r="AE402" s="101"/>
    </row>
    <row r="403" spans="1:31" ht="47.25" x14ac:dyDescent="0.25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80" t="s">
        <v>314</v>
      </c>
      <c r="S403" s="62" t="s">
        <v>52</v>
      </c>
      <c r="T403" s="3">
        <v>1.5</v>
      </c>
      <c r="U403" s="3">
        <v>0.8</v>
      </c>
      <c r="V403" s="3">
        <v>0.6</v>
      </c>
      <c r="W403" s="3">
        <v>0</v>
      </c>
      <c r="X403" s="3">
        <v>0</v>
      </c>
      <c r="Y403" s="3">
        <v>0</v>
      </c>
      <c r="Z403" s="3">
        <v>0</v>
      </c>
      <c r="AA403" s="6">
        <f t="shared" si="105"/>
        <v>2.9</v>
      </c>
      <c r="AB403" s="41">
        <v>2020</v>
      </c>
      <c r="AC403" s="128"/>
      <c r="AD403" s="101"/>
      <c r="AE403" s="101"/>
    </row>
    <row r="404" spans="1:31" ht="46.9" hidden="1" customHeight="1" x14ac:dyDescent="0.25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80" t="s">
        <v>182</v>
      </c>
      <c r="S404" s="84" t="s">
        <v>181</v>
      </c>
      <c r="T404" s="3"/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6">
        <f t="shared" si="105"/>
        <v>0</v>
      </c>
      <c r="AB404" s="41">
        <v>2018</v>
      </c>
      <c r="AC404" s="128"/>
      <c r="AD404" s="101"/>
      <c r="AE404" s="101"/>
    </row>
    <row r="405" spans="1:31" ht="47.25" x14ac:dyDescent="0.25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80" t="s">
        <v>315</v>
      </c>
      <c r="S405" s="84" t="s">
        <v>50</v>
      </c>
      <c r="T405" s="44">
        <v>10</v>
      </c>
      <c r="U405" s="44">
        <v>5</v>
      </c>
      <c r="V405" s="44">
        <v>2</v>
      </c>
      <c r="W405" s="44">
        <v>0</v>
      </c>
      <c r="X405" s="44">
        <v>0</v>
      </c>
      <c r="Y405" s="44">
        <v>0</v>
      </c>
      <c r="Z405" s="44">
        <v>0</v>
      </c>
      <c r="AA405" s="49">
        <f t="shared" si="105"/>
        <v>17</v>
      </c>
      <c r="AB405" s="41">
        <v>2020</v>
      </c>
      <c r="AC405" s="128"/>
      <c r="AD405" s="101"/>
      <c r="AE405" s="101"/>
    </row>
    <row r="406" spans="1:31" ht="15.6" hidden="1" customHeight="1" x14ac:dyDescent="0.25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150" t="s">
        <v>239</v>
      </c>
      <c r="S406" s="63" t="s">
        <v>0</v>
      </c>
      <c r="T406" s="1">
        <f>SUM(T407:T410)</f>
        <v>721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/>
      <c r="AA406" s="59">
        <f t="shared" ref="AA406:AA469" si="107">SUM(T406:Y406)</f>
        <v>721</v>
      </c>
      <c r="AB406" s="58">
        <v>2018</v>
      </c>
      <c r="AC406" s="9"/>
      <c r="AD406" s="101"/>
      <c r="AE406" s="101"/>
    </row>
    <row r="407" spans="1:31" ht="15.6" hidden="1" customHeight="1" x14ac:dyDescent="0.25">
      <c r="A407" s="54" t="s">
        <v>18</v>
      </c>
      <c r="B407" s="54" t="s">
        <v>18</v>
      </c>
      <c r="C407" s="54" t="s">
        <v>25</v>
      </c>
      <c r="D407" s="54" t="s">
        <v>18</v>
      </c>
      <c r="E407" s="54" t="s">
        <v>21</v>
      </c>
      <c r="F407" s="54" t="s">
        <v>18</v>
      </c>
      <c r="G407" s="54" t="s">
        <v>22</v>
      </c>
      <c r="H407" s="54" t="s">
        <v>19</v>
      </c>
      <c r="I407" s="54" t="s">
        <v>24</v>
      </c>
      <c r="J407" s="54" t="s">
        <v>18</v>
      </c>
      <c r="K407" s="54" t="s">
        <v>18</v>
      </c>
      <c r="L407" s="54" t="s">
        <v>20</v>
      </c>
      <c r="M407" s="54" t="s">
        <v>19</v>
      </c>
      <c r="N407" s="54" t="s">
        <v>18</v>
      </c>
      <c r="O407" s="54" t="s">
        <v>24</v>
      </c>
      <c r="P407" s="54" t="s">
        <v>22</v>
      </c>
      <c r="Q407" s="54" t="s">
        <v>45</v>
      </c>
      <c r="R407" s="150"/>
      <c r="S407" s="63" t="s">
        <v>0</v>
      </c>
      <c r="T407" s="1">
        <v>288.39999999999998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/>
      <c r="AA407" s="59">
        <f t="shared" si="107"/>
        <v>288.39999999999998</v>
      </c>
      <c r="AB407" s="58">
        <v>2018</v>
      </c>
      <c r="AC407" s="9"/>
      <c r="AD407" s="101"/>
      <c r="AE407" s="101"/>
    </row>
    <row r="408" spans="1:31" ht="15.6" hidden="1" customHeight="1" x14ac:dyDescent="0.25">
      <c r="A408" s="54" t="s">
        <v>18</v>
      </c>
      <c r="B408" s="54" t="s">
        <v>18</v>
      </c>
      <c r="C408" s="54" t="s">
        <v>25</v>
      </c>
      <c r="D408" s="54" t="s">
        <v>18</v>
      </c>
      <c r="E408" s="54" t="s">
        <v>21</v>
      </c>
      <c r="F408" s="54" t="s">
        <v>18</v>
      </c>
      <c r="G408" s="54" t="s">
        <v>22</v>
      </c>
      <c r="H408" s="54" t="s">
        <v>19</v>
      </c>
      <c r="I408" s="54" t="s">
        <v>24</v>
      </c>
      <c r="J408" s="54" t="s">
        <v>18</v>
      </c>
      <c r="K408" s="54" t="s">
        <v>18</v>
      </c>
      <c r="L408" s="54" t="s">
        <v>20</v>
      </c>
      <c r="M408" s="54" t="s">
        <v>37</v>
      </c>
      <c r="N408" s="54" t="s">
        <v>18</v>
      </c>
      <c r="O408" s="54" t="s">
        <v>24</v>
      </c>
      <c r="P408" s="54" t="s">
        <v>22</v>
      </c>
      <c r="Q408" s="54" t="s">
        <v>46</v>
      </c>
      <c r="R408" s="150"/>
      <c r="S408" s="63" t="s">
        <v>0</v>
      </c>
      <c r="T408" s="1">
        <v>6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/>
      <c r="AA408" s="59">
        <f t="shared" si="107"/>
        <v>6</v>
      </c>
      <c r="AB408" s="58">
        <v>2018</v>
      </c>
      <c r="AC408" s="9"/>
      <c r="AD408" s="101"/>
      <c r="AE408" s="101"/>
    </row>
    <row r="409" spans="1:31" ht="15.6" hidden="1" customHeight="1" x14ac:dyDescent="0.25">
      <c r="A409" s="54" t="s">
        <v>18</v>
      </c>
      <c r="B409" s="54" t="s">
        <v>18</v>
      </c>
      <c r="C409" s="54" t="s">
        <v>25</v>
      </c>
      <c r="D409" s="54" t="s">
        <v>18</v>
      </c>
      <c r="E409" s="54" t="s">
        <v>21</v>
      </c>
      <c r="F409" s="54" t="s">
        <v>18</v>
      </c>
      <c r="G409" s="54" t="s">
        <v>22</v>
      </c>
      <c r="H409" s="54" t="s">
        <v>19</v>
      </c>
      <c r="I409" s="54" t="s">
        <v>24</v>
      </c>
      <c r="J409" s="54" t="s">
        <v>18</v>
      </c>
      <c r="K409" s="54" t="s">
        <v>18</v>
      </c>
      <c r="L409" s="54" t="s">
        <v>20</v>
      </c>
      <c r="M409" s="54" t="s">
        <v>37</v>
      </c>
      <c r="N409" s="54" t="s">
        <v>18</v>
      </c>
      <c r="O409" s="54" t="s">
        <v>24</v>
      </c>
      <c r="P409" s="54" t="s">
        <v>22</v>
      </c>
      <c r="Q409" s="54" t="s">
        <v>46</v>
      </c>
      <c r="R409" s="150"/>
      <c r="S409" s="63" t="s">
        <v>0</v>
      </c>
      <c r="T409" s="1">
        <v>151.4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/>
      <c r="AA409" s="59">
        <f t="shared" si="107"/>
        <v>151.4</v>
      </c>
      <c r="AB409" s="58">
        <v>2018</v>
      </c>
      <c r="AC409" s="9"/>
      <c r="AD409" s="101"/>
      <c r="AE409" s="101"/>
    </row>
    <row r="410" spans="1:31" ht="15.6" hidden="1" customHeight="1" x14ac:dyDescent="0.25">
      <c r="A410" s="54" t="s">
        <v>18</v>
      </c>
      <c r="B410" s="54" t="s">
        <v>18</v>
      </c>
      <c r="C410" s="54" t="s">
        <v>25</v>
      </c>
      <c r="D410" s="54" t="s">
        <v>18</v>
      </c>
      <c r="E410" s="54" t="s">
        <v>21</v>
      </c>
      <c r="F410" s="54" t="s">
        <v>18</v>
      </c>
      <c r="G410" s="54" t="s">
        <v>22</v>
      </c>
      <c r="H410" s="54" t="s">
        <v>19</v>
      </c>
      <c r="I410" s="54" t="s">
        <v>24</v>
      </c>
      <c r="J410" s="54" t="s">
        <v>18</v>
      </c>
      <c r="K410" s="54" t="s">
        <v>18</v>
      </c>
      <c r="L410" s="54" t="s">
        <v>20</v>
      </c>
      <c r="M410" s="54" t="s">
        <v>37</v>
      </c>
      <c r="N410" s="54" t="s">
        <v>18</v>
      </c>
      <c r="O410" s="54" t="s">
        <v>24</v>
      </c>
      <c r="P410" s="54" t="s">
        <v>22</v>
      </c>
      <c r="Q410" s="54" t="s">
        <v>39</v>
      </c>
      <c r="R410" s="150"/>
      <c r="S410" s="63" t="s">
        <v>0</v>
      </c>
      <c r="T410" s="1">
        <v>275.2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/>
      <c r="AA410" s="59">
        <f t="shared" si="107"/>
        <v>275.2</v>
      </c>
      <c r="AB410" s="58">
        <v>2018</v>
      </c>
      <c r="AC410" s="9"/>
      <c r="AD410" s="101"/>
      <c r="AE410" s="101"/>
    </row>
    <row r="411" spans="1:31" ht="31.15" hidden="1" customHeight="1" x14ac:dyDescent="0.25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80" t="s">
        <v>240</v>
      </c>
      <c r="S411" s="84" t="s">
        <v>8</v>
      </c>
      <c r="T411" s="44">
        <v>1</v>
      </c>
      <c r="U411" s="44">
        <v>0</v>
      </c>
      <c r="V411" s="44">
        <v>0</v>
      </c>
      <c r="W411" s="44">
        <v>0</v>
      </c>
      <c r="X411" s="44">
        <v>0</v>
      </c>
      <c r="Y411" s="44">
        <v>0</v>
      </c>
      <c r="Z411" s="44"/>
      <c r="AA411" s="49">
        <f t="shared" si="107"/>
        <v>1</v>
      </c>
      <c r="AB411" s="41">
        <v>2018</v>
      </c>
      <c r="AC411" s="9"/>
      <c r="AD411" s="101"/>
      <c r="AE411" s="101"/>
    </row>
    <row r="412" spans="1:31" ht="15.6" hidden="1" customHeight="1" x14ac:dyDescent="0.25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150" t="s">
        <v>241</v>
      </c>
      <c r="S412" s="63" t="s">
        <v>0</v>
      </c>
      <c r="T412" s="1">
        <f>SUM(T413:T416)</f>
        <v>960.80000000000007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/>
      <c r="AA412" s="59">
        <f t="shared" si="107"/>
        <v>960.80000000000007</v>
      </c>
      <c r="AB412" s="58">
        <v>2018</v>
      </c>
      <c r="AC412" s="9"/>
      <c r="AD412" s="101"/>
      <c r="AE412" s="101"/>
    </row>
    <row r="413" spans="1:31" ht="15.6" hidden="1" customHeight="1" x14ac:dyDescent="0.25">
      <c r="A413" s="54" t="s">
        <v>18</v>
      </c>
      <c r="B413" s="54" t="s">
        <v>18</v>
      </c>
      <c r="C413" s="54" t="s">
        <v>25</v>
      </c>
      <c r="D413" s="54" t="s">
        <v>18</v>
      </c>
      <c r="E413" s="54" t="s">
        <v>21</v>
      </c>
      <c r="F413" s="54" t="s">
        <v>18</v>
      </c>
      <c r="G413" s="54" t="s">
        <v>22</v>
      </c>
      <c r="H413" s="54" t="s">
        <v>19</v>
      </c>
      <c r="I413" s="54" t="s">
        <v>24</v>
      </c>
      <c r="J413" s="54" t="s">
        <v>18</v>
      </c>
      <c r="K413" s="54" t="s">
        <v>18</v>
      </c>
      <c r="L413" s="54" t="s">
        <v>20</v>
      </c>
      <c r="M413" s="54" t="s">
        <v>19</v>
      </c>
      <c r="N413" s="54" t="s">
        <v>18</v>
      </c>
      <c r="O413" s="54" t="s">
        <v>24</v>
      </c>
      <c r="P413" s="54" t="s">
        <v>22</v>
      </c>
      <c r="Q413" s="54" t="s">
        <v>45</v>
      </c>
      <c r="R413" s="150"/>
      <c r="S413" s="63" t="s">
        <v>0</v>
      </c>
      <c r="T413" s="1">
        <v>384.3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/>
      <c r="AA413" s="59">
        <f t="shared" si="107"/>
        <v>384.3</v>
      </c>
      <c r="AB413" s="58">
        <v>2018</v>
      </c>
      <c r="AC413" s="9"/>
      <c r="AD413" s="101"/>
      <c r="AE413" s="101"/>
    </row>
    <row r="414" spans="1:31" ht="15.6" hidden="1" customHeight="1" x14ac:dyDescent="0.25">
      <c r="A414" s="54" t="s">
        <v>18</v>
      </c>
      <c r="B414" s="54" t="s">
        <v>18</v>
      </c>
      <c r="C414" s="54" t="s">
        <v>25</v>
      </c>
      <c r="D414" s="54" t="s">
        <v>18</v>
      </c>
      <c r="E414" s="54" t="s">
        <v>21</v>
      </c>
      <c r="F414" s="54" t="s">
        <v>18</v>
      </c>
      <c r="G414" s="54" t="s">
        <v>22</v>
      </c>
      <c r="H414" s="54" t="s">
        <v>19</v>
      </c>
      <c r="I414" s="54" t="s">
        <v>24</v>
      </c>
      <c r="J414" s="54" t="s">
        <v>18</v>
      </c>
      <c r="K414" s="54" t="s">
        <v>18</v>
      </c>
      <c r="L414" s="54" t="s">
        <v>20</v>
      </c>
      <c r="M414" s="54" t="s">
        <v>37</v>
      </c>
      <c r="N414" s="54" t="s">
        <v>18</v>
      </c>
      <c r="O414" s="54" t="s">
        <v>24</v>
      </c>
      <c r="P414" s="54" t="s">
        <v>22</v>
      </c>
      <c r="Q414" s="54" t="s">
        <v>46</v>
      </c>
      <c r="R414" s="150"/>
      <c r="S414" s="63" t="s">
        <v>0</v>
      </c>
      <c r="T414" s="1">
        <v>25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/>
      <c r="AA414" s="59">
        <f t="shared" si="107"/>
        <v>25</v>
      </c>
      <c r="AB414" s="58">
        <v>2018</v>
      </c>
      <c r="AC414" s="9"/>
      <c r="AD414" s="101"/>
      <c r="AE414" s="101"/>
    </row>
    <row r="415" spans="1:31" ht="15.6" hidden="1" customHeight="1" x14ac:dyDescent="0.25">
      <c r="A415" s="54" t="s">
        <v>18</v>
      </c>
      <c r="B415" s="54" t="s">
        <v>18</v>
      </c>
      <c r="C415" s="54" t="s">
        <v>25</v>
      </c>
      <c r="D415" s="54" t="s">
        <v>18</v>
      </c>
      <c r="E415" s="54" t="s">
        <v>21</v>
      </c>
      <c r="F415" s="54" t="s">
        <v>18</v>
      </c>
      <c r="G415" s="54" t="s">
        <v>22</v>
      </c>
      <c r="H415" s="54" t="s">
        <v>19</v>
      </c>
      <c r="I415" s="54" t="s">
        <v>24</v>
      </c>
      <c r="J415" s="54" t="s">
        <v>18</v>
      </c>
      <c r="K415" s="54" t="s">
        <v>18</v>
      </c>
      <c r="L415" s="54" t="s">
        <v>20</v>
      </c>
      <c r="M415" s="54" t="s">
        <v>37</v>
      </c>
      <c r="N415" s="54" t="s">
        <v>18</v>
      </c>
      <c r="O415" s="54" t="s">
        <v>24</v>
      </c>
      <c r="P415" s="54" t="s">
        <v>22</v>
      </c>
      <c r="Q415" s="54" t="s">
        <v>46</v>
      </c>
      <c r="R415" s="150"/>
      <c r="S415" s="63" t="s">
        <v>0</v>
      </c>
      <c r="T415" s="1">
        <v>212.4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/>
      <c r="AA415" s="59">
        <f t="shared" si="107"/>
        <v>212.4</v>
      </c>
      <c r="AB415" s="58">
        <v>2018</v>
      </c>
      <c r="AC415" s="9"/>
      <c r="AD415" s="101"/>
      <c r="AE415" s="101"/>
    </row>
    <row r="416" spans="1:31" ht="15.6" hidden="1" customHeight="1" x14ac:dyDescent="0.25">
      <c r="A416" s="54" t="s">
        <v>18</v>
      </c>
      <c r="B416" s="54" t="s">
        <v>18</v>
      </c>
      <c r="C416" s="54" t="s">
        <v>25</v>
      </c>
      <c r="D416" s="54" t="s">
        <v>18</v>
      </c>
      <c r="E416" s="54" t="s">
        <v>21</v>
      </c>
      <c r="F416" s="54" t="s">
        <v>18</v>
      </c>
      <c r="G416" s="54" t="s">
        <v>22</v>
      </c>
      <c r="H416" s="54" t="s">
        <v>19</v>
      </c>
      <c r="I416" s="54" t="s">
        <v>24</v>
      </c>
      <c r="J416" s="54" t="s">
        <v>18</v>
      </c>
      <c r="K416" s="54" t="s">
        <v>18</v>
      </c>
      <c r="L416" s="54" t="s">
        <v>20</v>
      </c>
      <c r="M416" s="54" t="s">
        <v>37</v>
      </c>
      <c r="N416" s="54" t="s">
        <v>18</v>
      </c>
      <c r="O416" s="54" t="s">
        <v>24</v>
      </c>
      <c r="P416" s="54" t="s">
        <v>22</v>
      </c>
      <c r="Q416" s="54" t="s">
        <v>39</v>
      </c>
      <c r="R416" s="150"/>
      <c r="S416" s="63" t="s">
        <v>0</v>
      </c>
      <c r="T416" s="1">
        <v>339.1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/>
      <c r="AA416" s="59">
        <f t="shared" si="107"/>
        <v>339.1</v>
      </c>
      <c r="AB416" s="58">
        <v>2018</v>
      </c>
      <c r="AC416" s="9"/>
      <c r="AD416" s="101"/>
      <c r="AE416" s="101"/>
    </row>
    <row r="417" spans="1:31" ht="31.15" hidden="1" customHeight="1" x14ac:dyDescent="0.25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80" t="s">
        <v>242</v>
      </c>
      <c r="S417" s="84" t="s">
        <v>176</v>
      </c>
      <c r="T417" s="3">
        <v>78</v>
      </c>
      <c r="U417" s="3">
        <v>0</v>
      </c>
      <c r="V417" s="3">
        <v>0</v>
      </c>
      <c r="W417" s="3">
        <v>0</v>
      </c>
      <c r="X417" s="3">
        <v>0</v>
      </c>
      <c r="Y417" s="3">
        <v>0</v>
      </c>
      <c r="Z417" s="3"/>
      <c r="AA417" s="6">
        <f t="shared" si="107"/>
        <v>78</v>
      </c>
      <c r="AB417" s="41">
        <v>2018</v>
      </c>
      <c r="AC417" s="9"/>
      <c r="AD417" s="101"/>
      <c r="AE417" s="101"/>
    </row>
    <row r="418" spans="1:31" ht="15.6" hidden="1" customHeight="1" x14ac:dyDescent="0.25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150" t="s">
        <v>243</v>
      </c>
      <c r="S418" s="63" t="s">
        <v>0</v>
      </c>
      <c r="T418" s="1">
        <f>SUM(T419:T422)</f>
        <v>301.2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/>
      <c r="AA418" s="59">
        <f t="shared" si="107"/>
        <v>301.2</v>
      </c>
      <c r="AB418" s="58">
        <v>2018</v>
      </c>
      <c r="AC418" s="9"/>
      <c r="AD418" s="101"/>
      <c r="AE418" s="101"/>
    </row>
    <row r="419" spans="1:31" ht="15.6" hidden="1" customHeight="1" x14ac:dyDescent="0.25">
      <c r="A419" s="54" t="s">
        <v>18</v>
      </c>
      <c r="B419" s="54" t="s">
        <v>18</v>
      </c>
      <c r="C419" s="54" t="s">
        <v>25</v>
      </c>
      <c r="D419" s="54" t="s">
        <v>18</v>
      </c>
      <c r="E419" s="54" t="s">
        <v>21</v>
      </c>
      <c r="F419" s="54" t="s">
        <v>18</v>
      </c>
      <c r="G419" s="54" t="s">
        <v>22</v>
      </c>
      <c r="H419" s="54" t="s">
        <v>19</v>
      </c>
      <c r="I419" s="54" t="s">
        <v>24</v>
      </c>
      <c r="J419" s="54" t="s">
        <v>18</v>
      </c>
      <c r="K419" s="54" t="s">
        <v>18</v>
      </c>
      <c r="L419" s="54" t="s">
        <v>20</v>
      </c>
      <c r="M419" s="54" t="s">
        <v>19</v>
      </c>
      <c r="N419" s="54" t="s">
        <v>18</v>
      </c>
      <c r="O419" s="54" t="s">
        <v>24</v>
      </c>
      <c r="P419" s="54" t="s">
        <v>22</v>
      </c>
      <c r="Q419" s="54" t="s">
        <v>45</v>
      </c>
      <c r="R419" s="150"/>
      <c r="S419" s="63" t="s">
        <v>0</v>
      </c>
      <c r="T419" s="1">
        <v>114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/>
      <c r="AA419" s="59">
        <f t="shared" si="107"/>
        <v>114</v>
      </c>
      <c r="AB419" s="58">
        <v>2018</v>
      </c>
      <c r="AC419" s="9"/>
      <c r="AD419" s="101"/>
      <c r="AE419" s="101"/>
    </row>
    <row r="420" spans="1:31" ht="15.6" hidden="1" customHeight="1" x14ac:dyDescent="0.25">
      <c r="A420" s="54" t="s">
        <v>18</v>
      </c>
      <c r="B420" s="54" t="s">
        <v>18</v>
      </c>
      <c r="C420" s="54" t="s">
        <v>25</v>
      </c>
      <c r="D420" s="54" t="s">
        <v>18</v>
      </c>
      <c r="E420" s="54" t="s">
        <v>21</v>
      </c>
      <c r="F420" s="54" t="s">
        <v>18</v>
      </c>
      <c r="G420" s="54" t="s">
        <v>22</v>
      </c>
      <c r="H420" s="54" t="s">
        <v>19</v>
      </c>
      <c r="I420" s="54" t="s">
        <v>24</v>
      </c>
      <c r="J420" s="54" t="s">
        <v>18</v>
      </c>
      <c r="K420" s="54" t="s">
        <v>18</v>
      </c>
      <c r="L420" s="54" t="s">
        <v>20</v>
      </c>
      <c r="M420" s="54" t="s">
        <v>37</v>
      </c>
      <c r="N420" s="54" t="s">
        <v>18</v>
      </c>
      <c r="O420" s="54" t="s">
        <v>24</v>
      </c>
      <c r="P420" s="54" t="s">
        <v>22</v>
      </c>
      <c r="Q420" s="54" t="s">
        <v>46</v>
      </c>
      <c r="R420" s="150"/>
      <c r="S420" s="63" t="s">
        <v>0</v>
      </c>
      <c r="T420" s="1">
        <v>10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/>
      <c r="AA420" s="59">
        <f t="shared" si="107"/>
        <v>10</v>
      </c>
      <c r="AB420" s="58">
        <v>2018</v>
      </c>
      <c r="AC420" s="9"/>
      <c r="AD420" s="101"/>
      <c r="AE420" s="101"/>
    </row>
    <row r="421" spans="1:31" ht="15.6" hidden="1" customHeight="1" x14ac:dyDescent="0.25">
      <c r="A421" s="54" t="s">
        <v>18</v>
      </c>
      <c r="B421" s="54" t="s">
        <v>18</v>
      </c>
      <c r="C421" s="54" t="s">
        <v>25</v>
      </c>
      <c r="D421" s="54" t="s">
        <v>18</v>
      </c>
      <c r="E421" s="54" t="s">
        <v>21</v>
      </c>
      <c r="F421" s="54" t="s">
        <v>18</v>
      </c>
      <c r="G421" s="54" t="s">
        <v>22</v>
      </c>
      <c r="H421" s="54" t="s">
        <v>19</v>
      </c>
      <c r="I421" s="54" t="s">
        <v>24</v>
      </c>
      <c r="J421" s="54" t="s">
        <v>18</v>
      </c>
      <c r="K421" s="54" t="s">
        <v>18</v>
      </c>
      <c r="L421" s="54" t="s">
        <v>20</v>
      </c>
      <c r="M421" s="54" t="s">
        <v>37</v>
      </c>
      <c r="N421" s="54" t="s">
        <v>18</v>
      </c>
      <c r="O421" s="54" t="s">
        <v>24</v>
      </c>
      <c r="P421" s="54" t="s">
        <v>22</v>
      </c>
      <c r="Q421" s="54" t="s">
        <v>46</v>
      </c>
      <c r="R421" s="150"/>
      <c r="S421" s="63" t="s">
        <v>0</v>
      </c>
      <c r="T421" s="1">
        <v>63.2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/>
      <c r="AA421" s="59">
        <f t="shared" si="107"/>
        <v>63.2</v>
      </c>
      <c r="AB421" s="58">
        <v>2018</v>
      </c>
      <c r="AC421" s="9"/>
      <c r="AD421" s="101"/>
      <c r="AE421" s="101"/>
    </row>
    <row r="422" spans="1:31" ht="15.6" hidden="1" customHeight="1" x14ac:dyDescent="0.25">
      <c r="A422" s="54" t="s">
        <v>18</v>
      </c>
      <c r="B422" s="54" t="s">
        <v>18</v>
      </c>
      <c r="C422" s="54" t="s">
        <v>25</v>
      </c>
      <c r="D422" s="54" t="s">
        <v>18</v>
      </c>
      <c r="E422" s="54" t="s">
        <v>21</v>
      </c>
      <c r="F422" s="54" t="s">
        <v>18</v>
      </c>
      <c r="G422" s="54" t="s">
        <v>22</v>
      </c>
      <c r="H422" s="54" t="s">
        <v>19</v>
      </c>
      <c r="I422" s="54" t="s">
        <v>24</v>
      </c>
      <c r="J422" s="54" t="s">
        <v>18</v>
      </c>
      <c r="K422" s="54" t="s">
        <v>18</v>
      </c>
      <c r="L422" s="54" t="s">
        <v>20</v>
      </c>
      <c r="M422" s="54" t="s">
        <v>37</v>
      </c>
      <c r="N422" s="54" t="s">
        <v>18</v>
      </c>
      <c r="O422" s="54" t="s">
        <v>24</v>
      </c>
      <c r="P422" s="54" t="s">
        <v>22</v>
      </c>
      <c r="Q422" s="54" t="s">
        <v>39</v>
      </c>
      <c r="R422" s="150"/>
      <c r="S422" s="63" t="s">
        <v>0</v>
      </c>
      <c r="T422" s="1">
        <v>114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/>
      <c r="AA422" s="59">
        <f t="shared" si="107"/>
        <v>114</v>
      </c>
      <c r="AB422" s="58">
        <v>2018</v>
      </c>
      <c r="AC422" s="9"/>
      <c r="AD422" s="101"/>
      <c r="AE422" s="101"/>
    </row>
    <row r="423" spans="1:31" ht="45" hidden="1" customHeight="1" x14ac:dyDescent="0.25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80" t="s">
        <v>244</v>
      </c>
      <c r="S423" s="84" t="s">
        <v>50</v>
      </c>
      <c r="T423" s="44">
        <v>12</v>
      </c>
      <c r="U423" s="44">
        <v>0</v>
      </c>
      <c r="V423" s="44">
        <v>0</v>
      </c>
      <c r="W423" s="44">
        <v>0</v>
      </c>
      <c r="X423" s="44">
        <v>0</v>
      </c>
      <c r="Y423" s="44">
        <v>0</v>
      </c>
      <c r="Z423" s="44"/>
      <c r="AA423" s="49">
        <f t="shared" si="107"/>
        <v>12</v>
      </c>
      <c r="AB423" s="41">
        <v>2018</v>
      </c>
      <c r="AC423" s="9"/>
      <c r="AD423" s="101"/>
      <c r="AE423" s="101"/>
    </row>
    <row r="424" spans="1:31" ht="15.6" hidden="1" customHeight="1" x14ac:dyDescent="0.25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150" t="s">
        <v>245</v>
      </c>
      <c r="S424" s="63" t="s">
        <v>0</v>
      </c>
      <c r="T424" s="1">
        <f>SUM(T425:T428)</f>
        <v>465.4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/>
      <c r="AA424" s="59">
        <f t="shared" si="107"/>
        <v>465.4</v>
      </c>
      <c r="AB424" s="58">
        <v>2018</v>
      </c>
      <c r="AC424" s="9"/>
      <c r="AD424" s="101"/>
      <c r="AE424" s="101"/>
    </row>
    <row r="425" spans="1:31" ht="15.6" hidden="1" customHeight="1" x14ac:dyDescent="0.25">
      <c r="A425" s="54" t="s">
        <v>18</v>
      </c>
      <c r="B425" s="54" t="s">
        <v>18</v>
      </c>
      <c r="C425" s="54" t="s">
        <v>25</v>
      </c>
      <c r="D425" s="54" t="s">
        <v>18</v>
      </c>
      <c r="E425" s="54" t="s">
        <v>21</v>
      </c>
      <c r="F425" s="54" t="s">
        <v>18</v>
      </c>
      <c r="G425" s="54" t="s">
        <v>22</v>
      </c>
      <c r="H425" s="54" t="s">
        <v>19</v>
      </c>
      <c r="I425" s="54" t="s">
        <v>24</v>
      </c>
      <c r="J425" s="54" t="s">
        <v>18</v>
      </c>
      <c r="K425" s="54" t="s">
        <v>18</v>
      </c>
      <c r="L425" s="54" t="s">
        <v>20</v>
      </c>
      <c r="M425" s="54" t="s">
        <v>19</v>
      </c>
      <c r="N425" s="54" t="s">
        <v>18</v>
      </c>
      <c r="O425" s="54" t="s">
        <v>24</v>
      </c>
      <c r="P425" s="54" t="s">
        <v>22</v>
      </c>
      <c r="Q425" s="54" t="s">
        <v>45</v>
      </c>
      <c r="R425" s="150"/>
      <c r="S425" s="63" t="s">
        <v>0</v>
      </c>
      <c r="T425" s="1">
        <v>178.8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/>
      <c r="AA425" s="59">
        <f t="shared" si="107"/>
        <v>178.8</v>
      </c>
      <c r="AB425" s="58">
        <v>2018</v>
      </c>
      <c r="AC425" s="9"/>
      <c r="AD425" s="101"/>
      <c r="AE425" s="101"/>
    </row>
    <row r="426" spans="1:31" ht="15.6" hidden="1" customHeight="1" x14ac:dyDescent="0.25">
      <c r="A426" s="54" t="s">
        <v>18</v>
      </c>
      <c r="B426" s="54" t="s">
        <v>18</v>
      </c>
      <c r="C426" s="54" t="s">
        <v>25</v>
      </c>
      <c r="D426" s="54" t="s">
        <v>18</v>
      </c>
      <c r="E426" s="54" t="s">
        <v>21</v>
      </c>
      <c r="F426" s="54" t="s">
        <v>18</v>
      </c>
      <c r="G426" s="54" t="s">
        <v>22</v>
      </c>
      <c r="H426" s="54" t="s">
        <v>19</v>
      </c>
      <c r="I426" s="54" t="s">
        <v>24</v>
      </c>
      <c r="J426" s="54" t="s">
        <v>18</v>
      </c>
      <c r="K426" s="54" t="s">
        <v>18</v>
      </c>
      <c r="L426" s="54" t="s">
        <v>20</v>
      </c>
      <c r="M426" s="54" t="s">
        <v>37</v>
      </c>
      <c r="N426" s="54" t="s">
        <v>18</v>
      </c>
      <c r="O426" s="54" t="s">
        <v>24</v>
      </c>
      <c r="P426" s="54" t="s">
        <v>22</v>
      </c>
      <c r="Q426" s="54" t="s">
        <v>46</v>
      </c>
      <c r="R426" s="150"/>
      <c r="S426" s="63" t="s">
        <v>0</v>
      </c>
      <c r="T426" s="1">
        <v>10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/>
      <c r="AA426" s="59">
        <f t="shared" si="107"/>
        <v>10</v>
      </c>
      <c r="AB426" s="58">
        <v>2018</v>
      </c>
      <c r="AC426" s="9"/>
      <c r="AD426" s="101"/>
      <c r="AE426" s="101"/>
    </row>
    <row r="427" spans="1:31" ht="15.6" hidden="1" customHeight="1" x14ac:dyDescent="0.25">
      <c r="A427" s="54" t="s">
        <v>18</v>
      </c>
      <c r="B427" s="54" t="s">
        <v>18</v>
      </c>
      <c r="C427" s="54" t="s">
        <v>25</v>
      </c>
      <c r="D427" s="54" t="s">
        <v>18</v>
      </c>
      <c r="E427" s="54" t="s">
        <v>21</v>
      </c>
      <c r="F427" s="54" t="s">
        <v>18</v>
      </c>
      <c r="G427" s="54" t="s">
        <v>22</v>
      </c>
      <c r="H427" s="54" t="s">
        <v>19</v>
      </c>
      <c r="I427" s="54" t="s">
        <v>24</v>
      </c>
      <c r="J427" s="54" t="s">
        <v>18</v>
      </c>
      <c r="K427" s="54" t="s">
        <v>18</v>
      </c>
      <c r="L427" s="54" t="s">
        <v>20</v>
      </c>
      <c r="M427" s="54" t="s">
        <v>37</v>
      </c>
      <c r="N427" s="54" t="s">
        <v>18</v>
      </c>
      <c r="O427" s="54" t="s">
        <v>24</v>
      </c>
      <c r="P427" s="54" t="s">
        <v>22</v>
      </c>
      <c r="Q427" s="54" t="s">
        <v>46</v>
      </c>
      <c r="R427" s="150"/>
      <c r="S427" s="63" t="s">
        <v>0</v>
      </c>
      <c r="T427" s="1">
        <v>97.7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/>
      <c r="AA427" s="59">
        <f t="shared" si="107"/>
        <v>97.7</v>
      </c>
      <c r="AB427" s="58">
        <v>2018</v>
      </c>
      <c r="AC427" s="9"/>
      <c r="AD427" s="101"/>
      <c r="AE427" s="101"/>
    </row>
    <row r="428" spans="1:31" ht="15.6" hidden="1" customHeight="1" x14ac:dyDescent="0.25">
      <c r="A428" s="54" t="s">
        <v>18</v>
      </c>
      <c r="B428" s="54" t="s">
        <v>18</v>
      </c>
      <c r="C428" s="54" t="s">
        <v>25</v>
      </c>
      <c r="D428" s="54" t="s">
        <v>18</v>
      </c>
      <c r="E428" s="54" t="s">
        <v>21</v>
      </c>
      <c r="F428" s="54" t="s">
        <v>18</v>
      </c>
      <c r="G428" s="54" t="s">
        <v>22</v>
      </c>
      <c r="H428" s="54" t="s">
        <v>19</v>
      </c>
      <c r="I428" s="54" t="s">
        <v>24</v>
      </c>
      <c r="J428" s="54" t="s">
        <v>18</v>
      </c>
      <c r="K428" s="54" t="s">
        <v>18</v>
      </c>
      <c r="L428" s="54" t="s">
        <v>20</v>
      </c>
      <c r="M428" s="54" t="s">
        <v>37</v>
      </c>
      <c r="N428" s="54" t="s">
        <v>18</v>
      </c>
      <c r="O428" s="54" t="s">
        <v>24</v>
      </c>
      <c r="P428" s="54" t="s">
        <v>22</v>
      </c>
      <c r="Q428" s="54" t="s">
        <v>39</v>
      </c>
      <c r="R428" s="150"/>
      <c r="S428" s="63" t="s">
        <v>0</v>
      </c>
      <c r="T428" s="1">
        <v>178.9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/>
      <c r="AA428" s="59">
        <f t="shared" si="107"/>
        <v>178.9</v>
      </c>
      <c r="AB428" s="58">
        <v>2018</v>
      </c>
      <c r="AC428" s="9"/>
      <c r="AD428" s="101"/>
      <c r="AE428" s="101"/>
    </row>
    <row r="429" spans="1:31" ht="41.45" hidden="1" customHeight="1" x14ac:dyDescent="0.25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80" t="s">
        <v>246</v>
      </c>
      <c r="S429" s="84" t="s">
        <v>175</v>
      </c>
      <c r="T429" s="3">
        <v>127</v>
      </c>
      <c r="U429" s="3">
        <v>0</v>
      </c>
      <c r="V429" s="3">
        <v>0</v>
      </c>
      <c r="W429" s="3">
        <v>0</v>
      </c>
      <c r="X429" s="3">
        <v>0</v>
      </c>
      <c r="Y429" s="3">
        <v>0</v>
      </c>
      <c r="Z429" s="3"/>
      <c r="AA429" s="6">
        <f t="shared" si="107"/>
        <v>127</v>
      </c>
      <c r="AB429" s="41">
        <v>2018</v>
      </c>
      <c r="AC429" s="9"/>
      <c r="AD429" s="101"/>
      <c r="AE429" s="101"/>
    </row>
    <row r="430" spans="1:31" ht="15.6" hidden="1" customHeight="1" x14ac:dyDescent="0.25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150" t="s">
        <v>247</v>
      </c>
      <c r="S430" s="63" t="s">
        <v>0</v>
      </c>
      <c r="T430" s="1">
        <f>SUM(T431:T434)</f>
        <v>482.90000000000003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/>
      <c r="AA430" s="59">
        <f t="shared" si="107"/>
        <v>482.90000000000003</v>
      </c>
      <c r="AB430" s="58">
        <v>2018</v>
      </c>
      <c r="AC430" s="9"/>
      <c r="AD430" s="101"/>
      <c r="AE430" s="101"/>
    </row>
    <row r="431" spans="1:31" ht="15.6" hidden="1" customHeight="1" x14ac:dyDescent="0.25">
      <c r="A431" s="54" t="s">
        <v>18</v>
      </c>
      <c r="B431" s="54" t="s">
        <v>18</v>
      </c>
      <c r="C431" s="54" t="s">
        <v>25</v>
      </c>
      <c r="D431" s="54" t="s">
        <v>18</v>
      </c>
      <c r="E431" s="54" t="s">
        <v>21</v>
      </c>
      <c r="F431" s="54" t="s">
        <v>18</v>
      </c>
      <c r="G431" s="54" t="s">
        <v>22</v>
      </c>
      <c r="H431" s="54" t="s">
        <v>19</v>
      </c>
      <c r="I431" s="54" t="s">
        <v>24</v>
      </c>
      <c r="J431" s="54" t="s">
        <v>18</v>
      </c>
      <c r="K431" s="54" t="s">
        <v>18</v>
      </c>
      <c r="L431" s="54" t="s">
        <v>20</v>
      </c>
      <c r="M431" s="54" t="s">
        <v>19</v>
      </c>
      <c r="N431" s="54" t="s">
        <v>18</v>
      </c>
      <c r="O431" s="54" t="s">
        <v>24</v>
      </c>
      <c r="P431" s="54" t="s">
        <v>22</v>
      </c>
      <c r="Q431" s="54" t="s">
        <v>45</v>
      </c>
      <c r="R431" s="150"/>
      <c r="S431" s="63" t="s">
        <v>0</v>
      </c>
      <c r="T431" s="1">
        <v>193.2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/>
      <c r="AA431" s="59">
        <f t="shared" si="107"/>
        <v>193.2</v>
      </c>
      <c r="AB431" s="58">
        <v>2018</v>
      </c>
      <c r="AC431" s="9"/>
      <c r="AD431" s="101"/>
      <c r="AE431" s="101"/>
    </row>
    <row r="432" spans="1:31" ht="15.6" hidden="1" customHeight="1" x14ac:dyDescent="0.25">
      <c r="A432" s="54" t="s">
        <v>18</v>
      </c>
      <c r="B432" s="54" t="s">
        <v>18</v>
      </c>
      <c r="C432" s="54" t="s">
        <v>25</v>
      </c>
      <c r="D432" s="54" t="s">
        <v>18</v>
      </c>
      <c r="E432" s="54" t="s">
        <v>21</v>
      </c>
      <c r="F432" s="54" t="s">
        <v>18</v>
      </c>
      <c r="G432" s="54" t="s">
        <v>22</v>
      </c>
      <c r="H432" s="54" t="s">
        <v>19</v>
      </c>
      <c r="I432" s="54" t="s">
        <v>24</v>
      </c>
      <c r="J432" s="54" t="s">
        <v>18</v>
      </c>
      <c r="K432" s="54" t="s">
        <v>18</v>
      </c>
      <c r="L432" s="54" t="s">
        <v>20</v>
      </c>
      <c r="M432" s="54" t="s">
        <v>37</v>
      </c>
      <c r="N432" s="54" t="s">
        <v>18</v>
      </c>
      <c r="O432" s="54" t="s">
        <v>24</v>
      </c>
      <c r="P432" s="54" t="s">
        <v>22</v>
      </c>
      <c r="Q432" s="54" t="s">
        <v>46</v>
      </c>
      <c r="R432" s="150"/>
      <c r="S432" s="63" t="s">
        <v>0</v>
      </c>
      <c r="T432" s="1">
        <v>10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/>
      <c r="AA432" s="59">
        <f t="shared" si="107"/>
        <v>10</v>
      </c>
      <c r="AB432" s="58">
        <v>2018</v>
      </c>
      <c r="AC432" s="9"/>
      <c r="AD432" s="101"/>
      <c r="AE432" s="101"/>
    </row>
    <row r="433" spans="1:31" ht="15.6" hidden="1" customHeight="1" x14ac:dyDescent="0.25">
      <c r="A433" s="54" t="s">
        <v>18</v>
      </c>
      <c r="B433" s="54" t="s">
        <v>18</v>
      </c>
      <c r="C433" s="54" t="s">
        <v>25</v>
      </c>
      <c r="D433" s="54" t="s">
        <v>18</v>
      </c>
      <c r="E433" s="54" t="s">
        <v>21</v>
      </c>
      <c r="F433" s="54" t="s">
        <v>18</v>
      </c>
      <c r="G433" s="54" t="s">
        <v>22</v>
      </c>
      <c r="H433" s="54" t="s">
        <v>19</v>
      </c>
      <c r="I433" s="54" t="s">
        <v>24</v>
      </c>
      <c r="J433" s="54" t="s">
        <v>18</v>
      </c>
      <c r="K433" s="54" t="s">
        <v>18</v>
      </c>
      <c r="L433" s="54" t="s">
        <v>20</v>
      </c>
      <c r="M433" s="54" t="s">
        <v>37</v>
      </c>
      <c r="N433" s="54" t="s">
        <v>18</v>
      </c>
      <c r="O433" s="54" t="s">
        <v>24</v>
      </c>
      <c r="P433" s="54" t="s">
        <v>22</v>
      </c>
      <c r="Q433" s="54" t="s">
        <v>46</v>
      </c>
      <c r="R433" s="150"/>
      <c r="S433" s="63" t="s">
        <v>0</v>
      </c>
      <c r="T433" s="1">
        <v>101.4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/>
      <c r="AA433" s="59">
        <f t="shared" si="107"/>
        <v>101.4</v>
      </c>
      <c r="AB433" s="58">
        <v>2018</v>
      </c>
      <c r="AC433" s="9"/>
      <c r="AD433" s="101"/>
      <c r="AE433" s="101"/>
    </row>
    <row r="434" spans="1:31" ht="15.6" hidden="1" customHeight="1" x14ac:dyDescent="0.25">
      <c r="A434" s="54" t="s">
        <v>18</v>
      </c>
      <c r="B434" s="54" t="s">
        <v>18</v>
      </c>
      <c r="C434" s="54" t="s">
        <v>25</v>
      </c>
      <c r="D434" s="54" t="s">
        <v>18</v>
      </c>
      <c r="E434" s="54" t="s">
        <v>21</v>
      </c>
      <c r="F434" s="54" t="s">
        <v>18</v>
      </c>
      <c r="G434" s="54" t="s">
        <v>22</v>
      </c>
      <c r="H434" s="54" t="s">
        <v>19</v>
      </c>
      <c r="I434" s="54" t="s">
        <v>24</v>
      </c>
      <c r="J434" s="54" t="s">
        <v>18</v>
      </c>
      <c r="K434" s="54" t="s">
        <v>18</v>
      </c>
      <c r="L434" s="54" t="s">
        <v>20</v>
      </c>
      <c r="M434" s="54" t="s">
        <v>37</v>
      </c>
      <c r="N434" s="54" t="s">
        <v>18</v>
      </c>
      <c r="O434" s="54" t="s">
        <v>24</v>
      </c>
      <c r="P434" s="54" t="s">
        <v>22</v>
      </c>
      <c r="Q434" s="54" t="s">
        <v>39</v>
      </c>
      <c r="R434" s="150"/>
      <c r="S434" s="63" t="s">
        <v>0</v>
      </c>
      <c r="T434" s="1">
        <v>178.3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/>
      <c r="AA434" s="59">
        <f t="shared" si="107"/>
        <v>178.3</v>
      </c>
      <c r="AB434" s="58">
        <v>2018</v>
      </c>
      <c r="AC434" s="9"/>
      <c r="AD434" s="101"/>
      <c r="AE434" s="101"/>
    </row>
    <row r="435" spans="1:31" ht="42" hidden="1" customHeight="1" x14ac:dyDescent="0.25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80" t="s">
        <v>248</v>
      </c>
      <c r="S435" s="84" t="s">
        <v>175</v>
      </c>
      <c r="T435" s="3">
        <v>131</v>
      </c>
      <c r="U435" s="3">
        <v>0</v>
      </c>
      <c r="V435" s="3">
        <v>0</v>
      </c>
      <c r="W435" s="3">
        <v>0</v>
      </c>
      <c r="X435" s="3">
        <v>0</v>
      </c>
      <c r="Y435" s="3">
        <v>0</v>
      </c>
      <c r="Z435" s="3"/>
      <c r="AA435" s="6">
        <f t="shared" si="107"/>
        <v>131</v>
      </c>
      <c r="AB435" s="41">
        <v>2018</v>
      </c>
      <c r="AC435" s="9"/>
      <c r="AD435" s="101"/>
      <c r="AE435" s="101"/>
    </row>
    <row r="436" spans="1:31" ht="18.75" hidden="1" customHeight="1" x14ac:dyDescent="0.25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150" t="s">
        <v>249</v>
      </c>
      <c r="S436" s="63" t="s">
        <v>0</v>
      </c>
      <c r="T436" s="1">
        <f>SUM(T437:T439)</f>
        <v>880.6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/>
      <c r="AA436" s="59">
        <f t="shared" si="107"/>
        <v>880.6</v>
      </c>
      <c r="AB436" s="58">
        <v>2018</v>
      </c>
      <c r="AC436" s="9"/>
      <c r="AD436" s="101"/>
      <c r="AE436" s="101"/>
    </row>
    <row r="437" spans="1:31" ht="18.75" hidden="1" customHeight="1" x14ac:dyDescent="0.25">
      <c r="A437" s="54" t="s">
        <v>18</v>
      </c>
      <c r="B437" s="54" t="s">
        <v>18</v>
      </c>
      <c r="C437" s="54" t="s">
        <v>25</v>
      </c>
      <c r="D437" s="54" t="s">
        <v>18</v>
      </c>
      <c r="E437" s="54" t="s">
        <v>21</v>
      </c>
      <c r="F437" s="54" t="s">
        <v>18</v>
      </c>
      <c r="G437" s="54" t="s">
        <v>22</v>
      </c>
      <c r="H437" s="54" t="s">
        <v>19</v>
      </c>
      <c r="I437" s="54" t="s">
        <v>24</v>
      </c>
      <c r="J437" s="54" t="s">
        <v>18</v>
      </c>
      <c r="K437" s="54" t="s">
        <v>18</v>
      </c>
      <c r="L437" s="54" t="s">
        <v>20</v>
      </c>
      <c r="M437" s="54" t="s">
        <v>19</v>
      </c>
      <c r="N437" s="54" t="s">
        <v>18</v>
      </c>
      <c r="O437" s="54" t="s">
        <v>24</v>
      </c>
      <c r="P437" s="54" t="s">
        <v>22</v>
      </c>
      <c r="Q437" s="54" t="s">
        <v>45</v>
      </c>
      <c r="R437" s="150"/>
      <c r="S437" s="63" t="s">
        <v>0</v>
      </c>
      <c r="T437" s="1">
        <v>352.2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/>
      <c r="AA437" s="59">
        <f t="shared" si="107"/>
        <v>352.2</v>
      </c>
      <c r="AB437" s="58">
        <v>2018</v>
      </c>
      <c r="AC437" s="9"/>
      <c r="AD437" s="101"/>
      <c r="AE437" s="101"/>
    </row>
    <row r="438" spans="1:31" ht="18.75" hidden="1" customHeight="1" x14ac:dyDescent="0.25">
      <c r="A438" s="54" t="s">
        <v>18</v>
      </c>
      <c r="B438" s="54" t="s">
        <v>18</v>
      </c>
      <c r="C438" s="54" t="s">
        <v>25</v>
      </c>
      <c r="D438" s="54" t="s">
        <v>18</v>
      </c>
      <c r="E438" s="54" t="s">
        <v>21</v>
      </c>
      <c r="F438" s="54" t="s">
        <v>18</v>
      </c>
      <c r="G438" s="54" t="s">
        <v>22</v>
      </c>
      <c r="H438" s="54" t="s">
        <v>19</v>
      </c>
      <c r="I438" s="54" t="s">
        <v>24</v>
      </c>
      <c r="J438" s="54" t="s">
        <v>18</v>
      </c>
      <c r="K438" s="54" t="s">
        <v>18</v>
      </c>
      <c r="L438" s="54" t="s">
        <v>20</v>
      </c>
      <c r="M438" s="54" t="s">
        <v>37</v>
      </c>
      <c r="N438" s="54" t="s">
        <v>18</v>
      </c>
      <c r="O438" s="54" t="s">
        <v>24</v>
      </c>
      <c r="P438" s="54" t="s">
        <v>22</v>
      </c>
      <c r="Q438" s="54" t="s">
        <v>46</v>
      </c>
      <c r="R438" s="150"/>
      <c r="S438" s="63" t="s">
        <v>0</v>
      </c>
      <c r="T438" s="1">
        <v>140.9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/>
      <c r="AA438" s="59">
        <f t="shared" si="107"/>
        <v>140.9</v>
      </c>
      <c r="AB438" s="58">
        <v>2018</v>
      </c>
      <c r="AC438" s="9"/>
      <c r="AD438" s="101"/>
      <c r="AE438" s="101"/>
    </row>
    <row r="439" spans="1:31" ht="18.75" hidden="1" customHeight="1" x14ac:dyDescent="0.25">
      <c r="A439" s="54" t="s">
        <v>18</v>
      </c>
      <c r="B439" s="54" t="s">
        <v>18</v>
      </c>
      <c r="C439" s="54" t="s">
        <v>25</v>
      </c>
      <c r="D439" s="54" t="s">
        <v>18</v>
      </c>
      <c r="E439" s="54" t="s">
        <v>21</v>
      </c>
      <c r="F439" s="54" t="s">
        <v>18</v>
      </c>
      <c r="G439" s="54" t="s">
        <v>22</v>
      </c>
      <c r="H439" s="54" t="s">
        <v>19</v>
      </c>
      <c r="I439" s="54" t="s">
        <v>24</v>
      </c>
      <c r="J439" s="54" t="s">
        <v>18</v>
      </c>
      <c r="K439" s="54" t="s">
        <v>18</v>
      </c>
      <c r="L439" s="54" t="s">
        <v>20</v>
      </c>
      <c r="M439" s="54" t="s">
        <v>37</v>
      </c>
      <c r="N439" s="54" t="s">
        <v>18</v>
      </c>
      <c r="O439" s="54" t="s">
        <v>24</v>
      </c>
      <c r="P439" s="54" t="s">
        <v>22</v>
      </c>
      <c r="Q439" s="54" t="s">
        <v>39</v>
      </c>
      <c r="R439" s="150"/>
      <c r="S439" s="63" t="s">
        <v>0</v>
      </c>
      <c r="T439" s="1">
        <v>387.5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/>
      <c r="AA439" s="59">
        <f t="shared" si="107"/>
        <v>387.5</v>
      </c>
      <c r="AB439" s="58">
        <v>2018</v>
      </c>
      <c r="AC439" s="9"/>
      <c r="AD439" s="101"/>
      <c r="AE439" s="101"/>
    </row>
    <row r="440" spans="1:31" ht="46.15" hidden="1" customHeight="1" x14ac:dyDescent="0.25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78" t="s">
        <v>250</v>
      </c>
      <c r="S440" s="84" t="s">
        <v>175</v>
      </c>
      <c r="T440" s="3">
        <v>600</v>
      </c>
      <c r="U440" s="3">
        <v>0</v>
      </c>
      <c r="V440" s="3">
        <v>0</v>
      </c>
      <c r="W440" s="3">
        <v>0</v>
      </c>
      <c r="X440" s="3">
        <v>0</v>
      </c>
      <c r="Y440" s="3">
        <v>0</v>
      </c>
      <c r="Z440" s="3"/>
      <c r="AA440" s="6">
        <f t="shared" si="107"/>
        <v>600</v>
      </c>
      <c r="AB440" s="41">
        <v>2018</v>
      </c>
      <c r="AC440" s="9"/>
      <c r="AD440" s="101"/>
      <c r="AE440" s="101"/>
    </row>
    <row r="441" spans="1:31" ht="15.6" hidden="1" customHeight="1" x14ac:dyDescent="0.25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150" t="s">
        <v>251</v>
      </c>
      <c r="S441" s="63" t="s">
        <v>0</v>
      </c>
      <c r="T441" s="1">
        <f>SUM(T442:T445)</f>
        <v>293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/>
      <c r="AA441" s="59">
        <f t="shared" si="107"/>
        <v>293</v>
      </c>
      <c r="AB441" s="58">
        <v>2018</v>
      </c>
      <c r="AC441" s="9"/>
      <c r="AD441" s="101"/>
      <c r="AE441" s="101"/>
    </row>
    <row r="442" spans="1:31" ht="15.6" hidden="1" customHeight="1" x14ac:dyDescent="0.25">
      <c r="A442" s="54" t="s">
        <v>18</v>
      </c>
      <c r="B442" s="54" t="s">
        <v>18</v>
      </c>
      <c r="C442" s="54" t="s">
        <v>25</v>
      </c>
      <c r="D442" s="54" t="s">
        <v>18</v>
      </c>
      <c r="E442" s="54" t="s">
        <v>21</v>
      </c>
      <c r="F442" s="54" t="s">
        <v>18</v>
      </c>
      <c r="G442" s="54" t="s">
        <v>22</v>
      </c>
      <c r="H442" s="54" t="s">
        <v>19</v>
      </c>
      <c r="I442" s="54" t="s">
        <v>24</v>
      </c>
      <c r="J442" s="54" t="s">
        <v>18</v>
      </c>
      <c r="K442" s="54" t="s">
        <v>18</v>
      </c>
      <c r="L442" s="54" t="s">
        <v>20</v>
      </c>
      <c r="M442" s="54" t="s">
        <v>19</v>
      </c>
      <c r="N442" s="54" t="s">
        <v>18</v>
      </c>
      <c r="O442" s="54" t="s">
        <v>24</v>
      </c>
      <c r="P442" s="54" t="s">
        <v>22</v>
      </c>
      <c r="Q442" s="54" t="s">
        <v>45</v>
      </c>
      <c r="R442" s="150"/>
      <c r="S442" s="63" t="s">
        <v>0</v>
      </c>
      <c r="T442" s="1">
        <v>117.2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/>
      <c r="AA442" s="59">
        <f t="shared" si="107"/>
        <v>117.2</v>
      </c>
      <c r="AB442" s="58">
        <v>2018</v>
      </c>
      <c r="AC442" s="9"/>
      <c r="AD442" s="101"/>
      <c r="AE442" s="101"/>
    </row>
    <row r="443" spans="1:31" ht="15.6" hidden="1" customHeight="1" x14ac:dyDescent="0.25">
      <c r="A443" s="54" t="s">
        <v>18</v>
      </c>
      <c r="B443" s="54" t="s">
        <v>18</v>
      </c>
      <c r="C443" s="54" t="s">
        <v>25</v>
      </c>
      <c r="D443" s="54" t="s">
        <v>18</v>
      </c>
      <c r="E443" s="54" t="s">
        <v>21</v>
      </c>
      <c r="F443" s="54" t="s">
        <v>18</v>
      </c>
      <c r="G443" s="54" t="s">
        <v>22</v>
      </c>
      <c r="H443" s="54" t="s">
        <v>19</v>
      </c>
      <c r="I443" s="54" t="s">
        <v>24</v>
      </c>
      <c r="J443" s="54" t="s">
        <v>18</v>
      </c>
      <c r="K443" s="54" t="s">
        <v>18</v>
      </c>
      <c r="L443" s="54" t="s">
        <v>20</v>
      </c>
      <c r="M443" s="54" t="s">
        <v>37</v>
      </c>
      <c r="N443" s="54" t="s">
        <v>18</v>
      </c>
      <c r="O443" s="54" t="s">
        <v>24</v>
      </c>
      <c r="P443" s="54" t="s">
        <v>22</v>
      </c>
      <c r="Q443" s="54" t="s">
        <v>46</v>
      </c>
      <c r="R443" s="150"/>
      <c r="S443" s="63" t="s">
        <v>0</v>
      </c>
      <c r="T443" s="1">
        <v>22.6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/>
      <c r="AA443" s="59">
        <f t="shared" si="107"/>
        <v>22.6</v>
      </c>
      <c r="AB443" s="58">
        <v>2018</v>
      </c>
      <c r="AC443" s="9"/>
      <c r="AD443" s="101"/>
      <c r="AE443" s="101"/>
    </row>
    <row r="444" spans="1:31" ht="15.6" hidden="1" customHeight="1" x14ac:dyDescent="0.25">
      <c r="A444" s="54" t="s">
        <v>18</v>
      </c>
      <c r="B444" s="54" t="s">
        <v>18</v>
      </c>
      <c r="C444" s="54" t="s">
        <v>25</v>
      </c>
      <c r="D444" s="54" t="s">
        <v>18</v>
      </c>
      <c r="E444" s="54" t="s">
        <v>21</v>
      </c>
      <c r="F444" s="54" t="s">
        <v>18</v>
      </c>
      <c r="G444" s="54" t="s">
        <v>22</v>
      </c>
      <c r="H444" s="54" t="s">
        <v>19</v>
      </c>
      <c r="I444" s="54" t="s">
        <v>24</v>
      </c>
      <c r="J444" s="54" t="s">
        <v>18</v>
      </c>
      <c r="K444" s="54" t="s">
        <v>18</v>
      </c>
      <c r="L444" s="54" t="s">
        <v>20</v>
      </c>
      <c r="M444" s="54" t="s">
        <v>37</v>
      </c>
      <c r="N444" s="54" t="s">
        <v>18</v>
      </c>
      <c r="O444" s="54" t="s">
        <v>24</v>
      </c>
      <c r="P444" s="54" t="s">
        <v>22</v>
      </c>
      <c r="Q444" s="54" t="s">
        <v>46</v>
      </c>
      <c r="R444" s="150"/>
      <c r="S444" s="63" t="s">
        <v>0</v>
      </c>
      <c r="T444" s="1">
        <v>61.5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/>
      <c r="AA444" s="59">
        <f t="shared" si="107"/>
        <v>61.5</v>
      </c>
      <c r="AB444" s="58">
        <v>2018</v>
      </c>
      <c r="AC444" s="9"/>
      <c r="AD444" s="101"/>
      <c r="AE444" s="101"/>
    </row>
    <row r="445" spans="1:31" ht="15.6" hidden="1" customHeight="1" x14ac:dyDescent="0.25">
      <c r="A445" s="54" t="s">
        <v>18</v>
      </c>
      <c r="B445" s="54" t="s">
        <v>18</v>
      </c>
      <c r="C445" s="54" t="s">
        <v>25</v>
      </c>
      <c r="D445" s="54" t="s">
        <v>18</v>
      </c>
      <c r="E445" s="54" t="s">
        <v>21</v>
      </c>
      <c r="F445" s="54" t="s">
        <v>18</v>
      </c>
      <c r="G445" s="54" t="s">
        <v>22</v>
      </c>
      <c r="H445" s="54" t="s">
        <v>19</v>
      </c>
      <c r="I445" s="54" t="s">
        <v>24</v>
      </c>
      <c r="J445" s="54" t="s">
        <v>18</v>
      </c>
      <c r="K445" s="54" t="s">
        <v>18</v>
      </c>
      <c r="L445" s="54" t="s">
        <v>20</v>
      </c>
      <c r="M445" s="54" t="s">
        <v>37</v>
      </c>
      <c r="N445" s="54" t="s">
        <v>18</v>
      </c>
      <c r="O445" s="54" t="s">
        <v>24</v>
      </c>
      <c r="P445" s="54" t="s">
        <v>22</v>
      </c>
      <c r="Q445" s="54" t="s">
        <v>39</v>
      </c>
      <c r="R445" s="150"/>
      <c r="S445" s="63" t="s">
        <v>0</v>
      </c>
      <c r="T445" s="1">
        <v>91.7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/>
      <c r="AA445" s="59">
        <f t="shared" si="107"/>
        <v>91.7</v>
      </c>
      <c r="AB445" s="58">
        <v>2018</v>
      </c>
      <c r="AC445" s="9"/>
      <c r="AD445" s="101"/>
      <c r="AE445" s="101"/>
    </row>
    <row r="446" spans="1:31" ht="31.15" hidden="1" customHeight="1" x14ac:dyDescent="0.25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80" t="s">
        <v>252</v>
      </c>
      <c r="S446" s="84" t="s">
        <v>176</v>
      </c>
      <c r="T446" s="3">
        <v>126</v>
      </c>
      <c r="U446" s="3">
        <v>0</v>
      </c>
      <c r="V446" s="3">
        <v>0</v>
      </c>
      <c r="W446" s="3">
        <v>0</v>
      </c>
      <c r="X446" s="3">
        <v>0</v>
      </c>
      <c r="Y446" s="3">
        <v>0</v>
      </c>
      <c r="Z446" s="3"/>
      <c r="AA446" s="6">
        <f t="shared" si="107"/>
        <v>126</v>
      </c>
      <c r="AB446" s="41">
        <v>2018</v>
      </c>
      <c r="AC446" s="9"/>
      <c r="AD446" s="101"/>
      <c r="AE446" s="101"/>
    </row>
    <row r="447" spans="1:31" ht="15.6" hidden="1" customHeight="1" x14ac:dyDescent="0.25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150" t="s">
        <v>253</v>
      </c>
      <c r="S447" s="63" t="s">
        <v>0</v>
      </c>
      <c r="T447" s="1">
        <f>SUM(T448:T451)</f>
        <v>470.59999999999997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/>
      <c r="AA447" s="59">
        <f t="shared" si="107"/>
        <v>470.59999999999997</v>
      </c>
      <c r="AB447" s="58">
        <v>2018</v>
      </c>
      <c r="AC447" s="9"/>
      <c r="AD447" s="101"/>
      <c r="AE447" s="101"/>
    </row>
    <row r="448" spans="1:31" ht="15.6" hidden="1" customHeight="1" x14ac:dyDescent="0.25">
      <c r="A448" s="54" t="s">
        <v>18</v>
      </c>
      <c r="B448" s="54" t="s">
        <v>18</v>
      </c>
      <c r="C448" s="54" t="s">
        <v>25</v>
      </c>
      <c r="D448" s="54" t="s">
        <v>18</v>
      </c>
      <c r="E448" s="54" t="s">
        <v>21</v>
      </c>
      <c r="F448" s="54" t="s">
        <v>18</v>
      </c>
      <c r="G448" s="54" t="s">
        <v>22</v>
      </c>
      <c r="H448" s="54" t="s">
        <v>19</v>
      </c>
      <c r="I448" s="54" t="s">
        <v>24</v>
      </c>
      <c r="J448" s="54" t="s">
        <v>18</v>
      </c>
      <c r="K448" s="54" t="s">
        <v>18</v>
      </c>
      <c r="L448" s="54" t="s">
        <v>20</v>
      </c>
      <c r="M448" s="54" t="s">
        <v>19</v>
      </c>
      <c r="N448" s="54" t="s">
        <v>18</v>
      </c>
      <c r="O448" s="54" t="s">
        <v>24</v>
      </c>
      <c r="P448" s="54" t="s">
        <v>22</v>
      </c>
      <c r="Q448" s="54" t="s">
        <v>45</v>
      </c>
      <c r="R448" s="150"/>
      <c r="S448" s="63" t="s">
        <v>0</v>
      </c>
      <c r="T448" s="1">
        <v>188.2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/>
      <c r="AA448" s="59">
        <f t="shared" si="107"/>
        <v>188.2</v>
      </c>
      <c r="AB448" s="58">
        <v>2018</v>
      </c>
      <c r="AC448" s="9"/>
      <c r="AD448" s="101"/>
      <c r="AE448" s="101"/>
    </row>
    <row r="449" spans="1:31" ht="15.6" hidden="1" customHeight="1" x14ac:dyDescent="0.25">
      <c r="A449" s="54" t="s">
        <v>18</v>
      </c>
      <c r="B449" s="54" t="s">
        <v>18</v>
      </c>
      <c r="C449" s="54" t="s">
        <v>25</v>
      </c>
      <c r="D449" s="54" t="s">
        <v>18</v>
      </c>
      <c r="E449" s="54" t="s">
        <v>21</v>
      </c>
      <c r="F449" s="54" t="s">
        <v>18</v>
      </c>
      <c r="G449" s="54" t="s">
        <v>22</v>
      </c>
      <c r="H449" s="54" t="s">
        <v>19</v>
      </c>
      <c r="I449" s="54" t="s">
        <v>24</v>
      </c>
      <c r="J449" s="54" t="s">
        <v>18</v>
      </c>
      <c r="K449" s="54" t="s">
        <v>18</v>
      </c>
      <c r="L449" s="54" t="s">
        <v>20</v>
      </c>
      <c r="M449" s="54" t="s">
        <v>37</v>
      </c>
      <c r="N449" s="54" t="s">
        <v>18</v>
      </c>
      <c r="O449" s="54" t="s">
        <v>24</v>
      </c>
      <c r="P449" s="54" t="s">
        <v>22</v>
      </c>
      <c r="Q449" s="54" t="s">
        <v>46</v>
      </c>
      <c r="R449" s="150"/>
      <c r="S449" s="63" t="s">
        <v>0</v>
      </c>
      <c r="T449" s="1">
        <v>35.1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/>
      <c r="AA449" s="59">
        <f t="shared" si="107"/>
        <v>35.1</v>
      </c>
      <c r="AB449" s="58">
        <v>2018</v>
      </c>
      <c r="AC449" s="9"/>
      <c r="AD449" s="101"/>
      <c r="AE449" s="101"/>
    </row>
    <row r="450" spans="1:31" ht="15.6" hidden="1" customHeight="1" x14ac:dyDescent="0.25">
      <c r="A450" s="54" t="s">
        <v>18</v>
      </c>
      <c r="B450" s="54" t="s">
        <v>18</v>
      </c>
      <c r="C450" s="54" t="s">
        <v>25</v>
      </c>
      <c r="D450" s="54" t="s">
        <v>18</v>
      </c>
      <c r="E450" s="54" t="s">
        <v>21</v>
      </c>
      <c r="F450" s="54" t="s">
        <v>18</v>
      </c>
      <c r="G450" s="54" t="s">
        <v>22</v>
      </c>
      <c r="H450" s="54" t="s">
        <v>19</v>
      </c>
      <c r="I450" s="54" t="s">
        <v>24</v>
      </c>
      <c r="J450" s="54" t="s">
        <v>18</v>
      </c>
      <c r="K450" s="54" t="s">
        <v>18</v>
      </c>
      <c r="L450" s="54" t="s">
        <v>20</v>
      </c>
      <c r="M450" s="54" t="s">
        <v>37</v>
      </c>
      <c r="N450" s="54" t="s">
        <v>18</v>
      </c>
      <c r="O450" s="54" t="s">
        <v>24</v>
      </c>
      <c r="P450" s="54" t="s">
        <v>22</v>
      </c>
      <c r="Q450" s="54" t="s">
        <v>46</v>
      </c>
      <c r="R450" s="150"/>
      <c r="S450" s="63" t="s">
        <v>0</v>
      </c>
      <c r="T450" s="1">
        <v>98.8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/>
      <c r="AA450" s="59">
        <f t="shared" si="107"/>
        <v>98.8</v>
      </c>
      <c r="AB450" s="58">
        <v>2018</v>
      </c>
      <c r="AC450" s="9"/>
      <c r="AD450" s="101"/>
      <c r="AE450" s="101"/>
    </row>
    <row r="451" spans="1:31" ht="15.6" hidden="1" customHeight="1" x14ac:dyDescent="0.25">
      <c r="A451" s="54" t="s">
        <v>18</v>
      </c>
      <c r="B451" s="54" t="s">
        <v>18</v>
      </c>
      <c r="C451" s="54" t="s">
        <v>25</v>
      </c>
      <c r="D451" s="54" t="s">
        <v>18</v>
      </c>
      <c r="E451" s="54" t="s">
        <v>21</v>
      </c>
      <c r="F451" s="54" t="s">
        <v>18</v>
      </c>
      <c r="G451" s="54" t="s">
        <v>22</v>
      </c>
      <c r="H451" s="54" t="s">
        <v>19</v>
      </c>
      <c r="I451" s="54" t="s">
        <v>24</v>
      </c>
      <c r="J451" s="54" t="s">
        <v>18</v>
      </c>
      <c r="K451" s="54" t="s">
        <v>18</v>
      </c>
      <c r="L451" s="54" t="s">
        <v>20</v>
      </c>
      <c r="M451" s="54" t="s">
        <v>37</v>
      </c>
      <c r="N451" s="54" t="s">
        <v>18</v>
      </c>
      <c r="O451" s="54" t="s">
        <v>24</v>
      </c>
      <c r="P451" s="54" t="s">
        <v>22</v>
      </c>
      <c r="Q451" s="54" t="s">
        <v>39</v>
      </c>
      <c r="R451" s="150"/>
      <c r="S451" s="63" t="s">
        <v>0</v>
      </c>
      <c r="T451" s="1">
        <v>148.5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/>
      <c r="AA451" s="59">
        <f t="shared" si="107"/>
        <v>148.5</v>
      </c>
      <c r="AB451" s="58">
        <v>2018</v>
      </c>
      <c r="AC451" s="9"/>
      <c r="AD451" s="101"/>
      <c r="AE451" s="101"/>
    </row>
    <row r="452" spans="1:31" ht="31.15" hidden="1" customHeight="1" x14ac:dyDescent="0.25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80" t="s">
        <v>254</v>
      </c>
      <c r="S452" s="84" t="s">
        <v>175</v>
      </c>
      <c r="T452" s="3">
        <v>131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"/>
      <c r="AA452" s="6">
        <f t="shared" si="107"/>
        <v>131</v>
      </c>
      <c r="AB452" s="41">
        <v>2018</v>
      </c>
      <c r="AC452" s="9"/>
      <c r="AD452" s="101"/>
      <c r="AE452" s="101"/>
    </row>
    <row r="453" spans="1:31" ht="15.6" hidden="1" customHeight="1" x14ac:dyDescent="0.25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150" t="s">
        <v>255</v>
      </c>
      <c r="S453" s="63" t="s">
        <v>0</v>
      </c>
      <c r="T453" s="1">
        <f>SUM(T454:T457)</f>
        <v>879.8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/>
      <c r="AA453" s="59">
        <f t="shared" si="107"/>
        <v>879.8</v>
      </c>
      <c r="AB453" s="58">
        <v>2018</v>
      </c>
      <c r="AC453" s="9"/>
      <c r="AD453" s="101"/>
      <c r="AE453" s="101"/>
    </row>
    <row r="454" spans="1:31" ht="15.6" hidden="1" customHeight="1" x14ac:dyDescent="0.25">
      <c r="A454" s="54" t="s">
        <v>18</v>
      </c>
      <c r="B454" s="54" t="s">
        <v>18</v>
      </c>
      <c r="C454" s="54" t="s">
        <v>25</v>
      </c>
      <c r="D454" s="54" t="s">
        <v>18</v>
      </c>
      <c r="E454" s="54" t="s">
        <v>21</v>
      </c>
      <c r="F454" s="54" t="s">
        <v>18</v>
      </c>
      <c r="G454" s="54" t="s">
        <v>22</v>
      </c>
      <c r="H454" s="54" t="s">
        <v>19</v>
      </c>
      <c r="I454" s="54" t="s">
        <v>24</v>
      </c>
      <c r="J454" s="54" t="s">
        <v>18</v>
      </c>
      <c r="K454" s="54" t="s">
        <v>18</v>
      </c>
      <c r="L454" s="54" t="s">
        <v>20</v>
      </c>
      <c r="M454" s="54" t="s">
        <v>19</v>
      </c>
      <c r="N454" s="54" t="s">
        <v>18</v>
      </c>
      <c r="O454" s="54" t="s">
        <v>24</v>
      </c>
      <c r="P454" s="54" t="s">
        <v>22</v>
      </c>
      <c r="Q454" s="54" t="s">
        <v>45</v>
      </c>
      <c r="R454" s="150"/>
      <c r="S454" s="63" t="s">
        <v>0</v>
      </c>
      <c r="T454" s="1">
        <v>350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/>
      <c r="AA454" s="59">
        <f t="shared" si="107"/>
        <v>350</v>
      </c>
      <c r="AB454" s="58">
        <v>2018</v>
      </c>
      <c r="AC454" s="9"/>
      <c r="AD454" s="101"/>
      <c r="AE454" s="101"/>
    </row>
    <row r="455" spans="1:31" ht="15.6" hidden="1" customHeight="1" x14ac:dyDescent="0.25">
      <c r="A455" s="54" t="s">
        <v>18</v>
      </c>
      <c r="B455" s="54" t="s">
        <v>18</v>
      </c>
      <c r="C455" s="54" t="s">
        <v>25</v>
      </c>
      <c r="D455" s="54" t="s">
        <v>18</v>
      </c>
      <c r="E455" s="54" t="s">
        <v>21</v>
      </c>
      <c r="F455" s="54" t="s">
        <v>18</v>
      </c>
      <c r="G455" s="54" t="s">
        <v>22</v>
      </c>
      <c r="H455" s="54" t="s">
        <v>19</v>
      </c>
      <c r="I455" s="54" t="s">
        <v>24</v>
      </c>
      <c r="J455" s="54" t="s">
        <v>18</v>
      </c>
      <c r="K455" s="54" t="s">
        <v>18</v>
      </c>
      <c r="L455" s="54" t="s">
        <v>20</v>
      </c>
      <c r="M455" s="54" t="s">
        <v>37</v>
      </c>
      <c r="N455" s="54" t="s">
        <v>18</v>
      </c>
      <c r="O455" s="54" t="s">
        <v>24</v>
      </c>
      <c r="P455" s="54" t="s">
        <v>22</v>
      </c>
      <c r="Q455" s="54" t="s">
        <v>46</v>
      </c>
      <c r="R455" s="150"/>
      <c r="S455" s="63" t="s">
        <v>0</v>
      </c>
      <c r="T455" s="1">
        <v>10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/>
      <c r="AA455" s="59">
        <f t="shared" si="107"/>
        <v>10</v>
      </c>
      <c r="AB455" s="58">
        <v>2018</v>
      </c>
      <c r="AC455" s="9"/>
      <c r="AD455" s="101"/>
      <c r="AE455" s="101"/>
    </row>
    <row r="456" spans="1:31" ht="15.6" hidden="1" customHeight="1" x14ac:dyDescent="0.25">
      <c r="A456" s="54" t="s">
        <v>18</v>
      </c>
      <c r="B456" s="54" t="s">
        <v>18</v>
      </c>
      <c r="C456" s="54" t="s">
        <v>25</v>
      </c>
      <c r="D456" s="54" t="s">
        <v>18</v>
      </c>
      <c r="E456" s="54" t="s">
        <v>21</v>
      </c>
      <c r="F456" s="54" t="s">
        <v>18</v>
      </c>
      <c r="G456" s="54" t="s">
        <v>22</v>
      </c>
      <c r="H456" s="54" t="s">
        <v>19</v>
      </c>
      <c r="I456" s="54" t="s">
        <v>24</v>
      </c>
      <c r="J456" s="54" t="s">
        <v>18</v>
      </c>
      <c r="K456" s="54" t="s">
        <v>18</v>
      </c>
      <c r="L456" s="54" t="s">
        <v>20</v>
      </c>
      <c r="M456" s="54" t="s">
        <v>37</v>
      </c>
      <c r="N456" s="54" t="s">
        <v>18</v>
      </c>
      <c r="O456" s="54" t="s">
        <v>24</v>
      </c>
      <c r="P456" s="54" t="s">
        <v>22</v>
      </c>
      <c r="Q456" s="54" t="s">
        <v>46</v>
      </c>
      <c r="R456" s="150"/>
      <c r="S456" s="63" t="s">
        <v>0</v>
      </c>
      <c r="T456" s="1">
        <v>141.69999999999999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/>
      <c r="AA456" s="59">
        <f t="shared" si="107"/>
        <v>141.69999999999999</v>
      </c>
      <c r="AB456" s="58">
        <v>2018</v>
      </c>
      <c r="AC456" s="9"/>
      <c r="AD456" s="101"/>
      <c r="AE456" s="101"/>
    </row>
    <row r="457" spans="1:31" ht="15.6" hidden="1" customHeight="1" x14ac:dyDescent="0.25">
      <c r="A457" s="54" t="s">
        <v>18</v>
      </c>
      <c r="B457" s="54" t="s">
        <v>18</v>
      </c>
      <c r="C457" s="54" t="s">
        <v>25</v>
      </c>
      <c r="D457" s="54" t="s">
        <v>18</v>
      </c>
      <c r="E457" s="54" t="s">
        <v>21</v>
      </c>
      <c r="F457" s="54" t="s">
        <v>18</v>
      </c>
      <c r="G457" s="54" t="s">
        <v>22</v>
      </c>
      <c r="H457" s="54" t="s">
        <v>19</v>
      </c>
      <c r="I457" s="54" t="s">
        <v>24</v>
      </c>
      <c r="J457" s="54" t="s">
        <v>18</v>
      </c>
      <c r="K457" s="54" t="s">
        <v>18</v>
      </c>
      <c r="L457" s="54" t="s">
        <v>20</v>
      </c>
      <c r="M457" s="54" t="s">
        <v>37</v>
      </c>
      <c r="N457" s="54" t="s">
        <v>18</v>
      </c>
      <c r="O457" s="54" t="s">
        <v>24</v>
      </c>
      <c r="P457" s="54" t="s">
        <v>22</v>
      </c>
      <c r="Q457" s="54" t="s">
        <v>39</v>
      </c>
      <c r="R457" s="150"/>
      <c r="S457" s="63" t="s">
        <v>0</v>
      </c>
      <c r="T457" s="1">
        <v>378.1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1"/>
      <c r="AA457" s="59">
        <f t="shared" si="107"/>
        <v>378.1</v>
      </c>
      <c r="AB457" s="58">
        <v>2018</v>
      </c>
      <c r="AC457" s="9"/>
      <c r="AD457" s="101"/>
      <c r="AE457" s="101"/>
    </row>
    <row r="458" spans="1:31" ht="27.6" hidden="1" customHeight="1" x14ac:dyDescent="0.25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90" t="s">
        <v>256</v>
      </c>
      <c r="S458" s="89" t="s">
        <v>175</v>
      </c>
      <c r="T458" s="3">
        <v>500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3"/>
      <c r="AA458" s="6">
        <f t="shared" si="107"/>
        <v>500</v>
      </c>
      <c r="AB458" s="41">
        <v>2018</v>
      </c>
      <c r="AC458" s="9"/>
      <c r="AD458" s="101"/>
      <c r="AE458" s="101"/>
    </row>
    <row r="459" spans="1:31" ht="17.25" hidden="1" customHeight="1" x14ac:dyDescent="0.25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150" t="s">
        <v>257</v>
      </c>
      <c r="S459" s="63" t="s">
        <v>0</v>
      </c>
      <c r="T459" s="1">
        <f>SUM(T460:T463)</f>
        <v>811.21499999999992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/>
      <c r="AA459" s="59">
        <f t="shared" si="107"/>
        <v>811.21499999999992</v>
      </c>
      <c r="AB459" s="58">
        <v>2018</v>
      </c>
      <c r="AC459" s="9"/>
      <c r="AD459" s="101"/>
      <c r="AE459" s="101"/>
    </row>
    <row r="460" spans="1:31" ht="15.6" hidden="1" customHeight="1" x14ac:dyDescent="0.25">
      <c r="A460" s="54" t="s">
        <v>18</v>
      </c>
      <c r="B460" s="54" t="s">
        <v>18</v>
      </c>
      <c r="C460" s="54" t="s">
        <v>25</v>
      </c>
      <c r="D460" s="54" t="s">
        <v>18</v>
      </c>
      <c r="E460" s="54" t="s">
        <v>21</v>
      </c>
      <c r="F460" s="54" t="s">
        <v>18</v>
      </c>
      <c r="G460" s="54" t="s">
        <v>22</v>
      </c>
      <c r="H460" s="54" t="s">
        <v>19</v>
      </c>
      <c r="I460" s="54" t="s">
        <v>24</v>
      </c>
      <c r="J460" s="54" t="s">
        <v>18</v>
      </c>
      <c r="K460" s="54" t="s">
        <v>18</v>
      </c>
      <c r="L460" s="54" t="s">
        <v>20</v>
      </c>
      <c r="M460" s="54" t="s">
        <v>19</v>
      </c>
      <c r="N460" s="54" t="s">
        <v>18</v>
      </c>
      <c r="O460" s="54" t="s">
        <v>24</v>
      </c>
      <c r="P460" s="54" t="s">
        <v>22</v>
      </c>
      <c r="Q460" s="54" t="s">
        <v>45</v>
      </c>
      <c r="R460" s="150"/>
      <c r="S460" s="63" t="s">
        <v>0</v>
      </c>
      <c r="T460" s="1">
        <v>324.51499999999999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/>
      <c r="AA460" s="59">
        <f t="shared" si="107"/>
        <v>324.51499999999999</v>
      </c>
      <c r="AB460" s="58">
        <v>2018</v>
      </c>
      <c r="AC460" s="9"/>
      <c r="AD460" s="101"/>
      <c r="AE460" s="101"/>
    </row>
    <row r="461" spans="1:31" ht="15.6" hidden="1" customHeight="1" x14ac:dyDescent="0.25">
      <c r="A461" s="54" t="s">
        <v>18</v>
      </c>
      <c r="B461" s="54" t="s">
        <v>18</v>
      </c>
      <c r="C461" s="54" t="s">
        <v>25</v>
      </c>
      <c r="D461" s="54" t="s">
        <v>18</v>
      </c>
      <c r="E461" s="54" t="s">
        <v>21</v>
      </c>
      <c r="F461" s="54" t="s">
        <v>18</v>
      </c>
      <c r="G461" s="54" t="s">
        <v>22</v>
      </c>
      <c r="H461" s="54" t="s">
        <v>19</v>
      </c>
      <c r="I461" s="54" t="s">
        <v>24</v>
      </c>
      <c r="J461" s="54" t="s">
        <v>18</v>
      </c>
      <c r="K461" s="54" t="s">
        <v>18</v>
      </c>
      <c r="L461" s="54" t="s">
        <v>20</v>
      </c>
      <c r="M461" s="54" t="s">
        <v>37</v>
      </c>
      <c r="N461" s="54" t="s">
        <v>18</v>
      </c>
      <c r="O461" s="54" t="s">
        <v>24</v>
      </c>
      <c r="P461" s="54" t="s">
        <v>22</v>
      </c>
      <c r="Q461" s="54" t="s">
        <v>46</v>
      </c>
      <c r="R461" s="150"/>
      <c r="S461" s="63" t="s">
        <v>0</v>
      </c>
      <c r="T461" s="1">
        <v>15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/>
      <c r="AA461" s="59">
        <f t="shared" si="107"/>
        <v>15</v>
      </c>
      <c r="AB461" s="58">
        <v>2018</v>
      </c>
      <c r="AC461" s="9"/>
      <c r="AD461" s="101"/>
      <c r="AE461" s="101"/>
    </row>
    <row r="462" spans="1:31" ht="15.6" hidden="1" customHeight="1" x14ac:dyDescent="0.25">
      <c r="A462" s="54" t="s">
        <v>18</v>
      </c>
      <c r="B462" s="54" t="s">
        <v>18</v>
      </c>
      <c r="C462" s="54" t="s">
        <v>25</v>
      </c>
      <c r="D462" s="54" t="s">
        <v>18</v>
      </c>
      <c r="E462" s="54" t="s">
        <v>21</v>
      </c>
      <c r="F462" s="54" t="s">
        <v>18</v>
      </c>
      <c r="G462" s="54" t="s">
        <v>22</v>
      </c>
      <c r="H462" s="54" t="s">
        <v>19</v>
      </c>
      <c r="I462" s="54" t="s">
        <v>24</v>
      </c>
      <c r="J462" s="54" t="s">
        <v>18</v>
      </c>
      <c r="K462" s="54" t="s">
        <v>18</v>
      </c>
      <c r="L462" s="54" t="s">
        <v>20</v>
      </c>
      <c r="M462" s="54" t="s">
        <v>37</v>
      </c>
      <c r="N462" s="54" t="s">
        <v>18</v>
      </c>
      <c r="O462" s="54" t="s">
        <v>24</v>
      </c>
      <c r="P462" s="54" t="s">
        <v>22</v>
      </c>
      <c r="Q462" s="54" t="s">
        <v>46</v>
      </c>
      <c r="R462" s="150"/>
      <c r="S462" s="63" t="s">
        <v>0</v>
      </c>
      <c r="T462" s="1">
        <v>170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/>
      <c r="AA462" s="59">
        <f t="shared" si="107"/>
        <v>170</v>
      </c>
      <c r="AB462" s="58">
        <v>2018</v>
      </c>
      <c r="AC462" s="9"/>
      <c r="AD462" s="101"/>
      <c r="AE462" s="101"/>
    </row>
    <row r="463" spans="1:31" ht="15.6" hidden="1" customHeight="1" x14ac:dyDescent="0.25">
      <c r="A463" s="54" t="s">
        <v>18</v>
      </c>
      <c r="B463" s="54" t="s">
        <v>18</v>
      </c>
      <c r="C463" s="54" t="s">
        <v>25</v>
      </c>
      <c r="D463" s="54" t="s">
        <v>18</v>
      </c>
      <c r="E463" s="54" t="s">
        <v>21</v>
      </c>
      <c r="F463" s="54" t="s">
        <v>18</v>
      </c>
      <c r="G463" s="54" t="s">
        <v>22</v>
      </c>
      <c r="H463" s="54" t="s">
        <v>19</v>
      </c>
      <c r="I463" s="54" t="s">
        <v>24</v>
      </c>
      <c r="J463" s="54" t="s">
        <v>18</v>
      </c>
      <c r="K463" s="54" t="s">
        <v>18</v>
      </c>
      <c r="L463" s="54" t="s">
        <v>20</v>
      </c>
      <c r="M463" s="54" t="s">
        <v>37</v>
      </c>
      <c r="N463" s="54" t="s">
        <v>18</v>
      </c>
      <c r="O463" s="54" t="s">
        <v>24</v>
      </c>
      <c r="P463" s="54" t="s">
        <v>22</v>
      </c>
      <c r="Q463" s="54" t="s">
        <v>39</v>
      </c>
      <c r="R463" s="150"/>
      <c r="S463" s="63" t="s">
        <v>0</v>
      </c>
      <c r="T463" s="1">
        <v>301.7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/>
      <c r="AA463" s="59">
        <f t="shared" si="107"/>
        <v>301.7</v>
      </c>
      <c r="AB463" s="58">
        <v>2018</v>
      </c>
      <c r="AC463" s="9"/>
      <c r="AD463" s="101"/>
      <c r="AE463" s="101"/>
    </row>
    <row r="464" spans="1:31" ht="31.15" hidden="1" customHeight="1" x14ac:dyDescent="0.25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80" t="s">
        <v>258</v>
      </c>
      <c r="S464" s="84" t="s">
        <v>8</v>
      </c>
      <c r="T464" s="44">
        <v>1</v>
      </c>
      <c r="U464" s="44">
        <v>0</v>
      </c>
      <c r="V464" s="44">
        <v>0</v>
      </c>
      <c r="W464" s="44">
        <v>0</v>
      </c>
      <c r="X464" s="44">
        <v>0</v>
      </c>
      <c r="Y464" s="44">
        <v>0</v>
      </c>
      <c r="Z464" s="44"/>
      <c r="AA464" s="49">
        <f t="shared" si="107"/>
        <v>1</v>
      </c>
      <c r="AB464" s="41">
        <v>2018</v>
      </c>
      <c r="AC464" s="9"/>
      <c r="AD464" s="101"/>
      <c r="AE464" s="101"/>
    </row>
    <row r="465" spans="1:31" ht="15.6" hidden="1" customHeight="1" x14ac:dyDescent="0.25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150" t="s">
        <v>259</v>
      </c>
      <c r="S465" s="63" t="s">
        <v>0</v>
      </c>
      <c r="T465" s="1">
        <f>SUM(T466:T469)</f>
        <v>1054.8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/>
      <c r="AA465" s="59">
        <f t="shared" si="107"/>
        <v>1054.8</v>
      </c>
      <c r="AB465" s="58">
        <v>2018</v>
      </c>
      <c r="AC465" s="9"/>
      <c r="AD465" s="101"/>
      <c r="AE465" s="101"/>
    </row>
    <row r="466" spans="1:31" ht="15.6" hidden="1" customHeight="1" x14ac:dyDescent="0.25">
      <c r="A466" s="54" t="s">
        <v>18</v>
      </c>
      <c r="B466" s="54" t="s">
        <v>18</v>
      </c>
      <c r="C466" s="54" t="s">
        <v>25</v>
      </c>
      <c r="D466" s="54" t="s">
        <v>18</v>
      </c>
      <c r="E466" s="54" t="s">
        <v>21</v>
      </c>
      <c r="F466" s="54" t="s">
        <v>18</v>
      </c>
      <c r="G466" s="54" t="s">
        <v>22</v>
      </c>
      <c r="H466" s="54" t="s">
        <v>19</v>
      </c>
      <c r="I466" s="54" t="s">
        <v>24</v>
      </c>
      <c r="J466" s="54" t="s">
        <v>18</v>
      </c>
      <c r="K466" s="54" t="s">
        <v>18</v>
      </c>
      <c r="L466" s="54" t="s">
        <v>20</v>
      </c>
      <c r="M466" s="54" t="s">
        <v>19</v>
      </c>
      <c r="N466" s="54" t="s">
        <v>18</v>
      </c>
      <c r="O466" s="54" t="s">
        <v>24</v>
      </c>
      <c r="P466" s="54" t="s">
        <v>22</v>
      </c>
      <c r="Q466" s="54" t="s">
        <v>45</v>
      </c>
      <c r="R466" s="150"/>
      <c r="S466" s="63" t="s">
        <v>0</v>
      </c>
      <c r="T466" s="1">
        <v>396.1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/>
      <c r="AA466" s="59">
        <f t="shared" si="107"/>
        <v>396.1</v>
      </c>
      <c r="AB466" s="58">
        <v>2018</v>
      </c>
      <c r="AC466" s="9"/>
      <c r="AD466" s="101"/>
      <c r="AE466" s="101"/>
    </row>
    <row r="467" spans="1:31" ht="15.6" hidden="1" customHeight="1" x14ac:dyDescent="0.25">
      <c r="A467" s="54" t="s">
        <v>18</v>
      </c>
      <c r="B467" s="54" t="s">
        <v>18</v>
      </c>
      <c r="C467" s="54" t="s">
        <v>25</v>
      </c>
      <c r="D467" s="54" t="s">
        <v>18</v>
      </c>
      <c r="E467" s="54" t="s">
        <v>21</v>
      </c>
      <c r="F467" s="54" t="s">
        <v>18</v>
      </c>
      <c r="G467" s="54" t="s">
        <v>22</v>
      </c>
      <c r="H467" s="54" t="s">
        <v>19</v>
      </c>
      <c r="I467" s="54" t="s">
        <v>24</v>
      </c>
      <c r="J467" s="54" t="s">
        <v>18</v>
      </c>
      <c r="K467" s="54" t="s">
        <v>18</v>
      </c>
      <c r="L467" s="54" t="s">
        <v>20</v>
      </c>
      <c r="M467" s="54" t="s">
        <v>37</v>
      </c>
      <c r="N467" s="54" t="s">
        <v>18</v>
      </c>
      <c r="O467" s="54" t="s">
        <v>24</v>
      </c>
      <c r="P467" s="54" t="s">
        <v>22</v>
      </c>
      <c r="Q467" s="54" t="s">
        <v>46</v>
      </c>
      <c r="R467" s="150"/>
      <c r="S467" s="63" t="s">
        <v>0</v>
      </c>
      <c r="T467" s="1">
        <v>5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/>
      <c r="AA467" s="59">
        <f t="shared" si="107"/>
        <v>5</v>
      </c>
      <c r="AB467" s="58">
        <v>2018</v>
      </c>
      <c r="AC467" s="9"/>
      <c r="AD467" s="101"/>
      <c r="AE467" s="101"/>
    </row>
    <row r="468" spans="1:31" ht="15.6" hidden="1" customHeight="1" x14ac:dyDescent="0.25">
      <c r="A468" s="54" t="s">
        <v>18</v>
      </c>
      <c r="B468" s="54" t="s">
        <v>18</v>
      </c>
      <c r="C468" s="54" t="s">
        <v>25</v>
      </c>
      <c r="D468" s="54" t="s">
        <v>18</v>
      </c>
      <c r="E468" s="54" t="s">
        <v>21</v>
      </c>
      <c r="F468" s="54" t="s">
        <v>18</v>
      </c>
      <c r="G468" s="54" t="s">
        <v>22</v>
      </c>
      <c r="H468" s="54" t="s">
        <v>19</v>
      </c>
      <c r="I468" s="54" t="s">
        <v>24</v>
      </c>
      <c r="J468" s="54" t="s">
        <v>18</v>
      </c>
      <c r="K468" s="54" t="s">
        <v>18</v>
      </c>
      <c r="L468" s="54" t="s">
        <v>20</v>
      </c>
      <c r="M468" s="54" t="s">
        <v>37</v>
      </c>
      <c r="N468" s="54" t="s">
        <v>18</v>
      </c>
      <c r="O468" s="54" t="s">
        <v>24</v>
      </c>
      <c r="P468" s="54" t="s">
        <v>22</v>
      </c>
      <c r="Q468" s="54" t="s">
        <v>46</v>
      </c>
      <c r="R468" s="150"/>
      <c r="S468" s="63" t="s">
        <v>0</v>
      </c>
      <c r="T468" s="1">
        <v>253.7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1"/>
      <c r="AA468" s="59">
        <f t="shared" si="107"/>
        <v>253.7</v>
      </c>
      <c r="AB468" s="58">
        <v>2018</v>
      </c>
      <c r="AC468" s="9"/>
      <c r="AD468" s="101"/>
      <c r="AE468" s="101"/>
    </row>
    <row r="469" spans="1:31" ht="15.6" hidden="1" customHeight="1" x14ac:dyDescent="0.25">
      <c r="A469" s="54" t="s">
        <v>18</v>
      </c>
      <c r="B469" s="54" t="s">
        <v>18</v>
      </c>
      <c r="C469" s="54" t="s">
        <v>25</v>
      </c>
      <c r="D469" s="54" t="s">
        <v>18</v>
      </c>
      <c r="E469" s="54" t="s">
        <v>21</v>
      </c>
      <c r="F469" s="54" t="s">
        <v>18</v>
      </c>
      <c r="G469" s="54" t="s">
        <v>22</v>
      </c>
      <c r="H469" s="54" t="s">
        <v>19</v>
      </c>
      <c r="I469" s="54" t="s">
        <v>24</v>
      </c>
      <c r="J469" s="54" t="s">
        <v>18</v>
      </c>
      <c r="K469" s="54" t="s">
        <v>18</v>
      </c>
      <c r="L469" s="54" t="s">
        <v>20</v>
      </c>
      <c r="M469" s="54" t="s">
        <v>37</v>
      </c>
      <c r="N469" s="54" t="s">
        <v>18</v>
      </c>
      <c r="O469" s="54" t="s">
        <v>24</v>
      </c>
      <c r="P469" s="54" t="s">
        <v>22</v>
      </c>
      <c r="Q469" s="54" t="s">
        <v>39</v>
      </c>
      <c r="R469" s="150"/>
      <c r="S469" s="63" t="s">
        <v>0</v>
      </c>
      <c r="T469" s="1">
        <v>400</v>
      </c>
      <c r="U469" s="1">
        <v>0</v>
      </c>
      <c r="V469" s="1">
        <v>0</v>
      </c>
      <c r="W469" s="1">
        <v>0</v>
      </c>
      <c r="X469" s="1">
        <v>0</v>
      </c>
      <c r="Y469" s="1">
        <v>0</v>
      </c>
      <c r="Z469" s="1"/>
      <c r="AA469" s="59">
        <f t="shared" si="107"/>
        <v>400</v>
      </c>
      <c r="AB469" s="58">
        <v>2018</v>
      </c>
      <c r="AC469" s="9"/>
      <c r="AD469" s="101"/>
      <c r="AE469" s="101"/>
    </row>
    <row r="470" spans="1:31" ht="31.15" hidden="1" customHeight="1" x14ac:dyDescent="0.25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80" t="s">
        <v>260</v>
      </c>
      <c r="S470" s="84" t="s">
        <v>8</v>
      </c>
      <c r="T470" s="44">
        <v>1</v>
      </c>
      <c r="U470" s="44">
        <v>0</v>
      </c>
      <c r="V470" s="44">
        <v>0</v>
      </c>
      <c r="W470" s="44">
        <v>0</v>
      </c>
      <c r="X470" s="44">
        <v>0</v>
      </c>
      <c r="Y470" s="44">
        <v>0</v>
      </c>
      <c r="Z470" s="44"/>
      <c r="AA470" s="49">
        <f>SUM(T470:Y470)</f>
        <v>1</v>
      </c>
      <c r="AB470" s="41">
        <v>2018</v>
      </c>
      <c r="AC470" s="9"/>
      <c r="AD470" s="101"/>
      <c r="AE470" s="101"/>
    </row>
    <row r="471" spans="1:31" ht="31.5" x14ac:dyDescent="0.25">
      <c r="A471" s="54" t="s">
        <v>18</v>
      </c>
      <c r="B471" s="54" t="s">
        <v>19</v>
      </c>
      <c r="C471" s="54" t="s">
        <v>20</v>
      </c>
      <c r="D471" s="54" t="s">
        <v>18</v>
      </c>
      <c r="E471" s="54" t="s">
        <v>24</v>
      </c>
      <c r="F471" s="54" t="s">
        <v>18</v>
      </c>
      <c r="G471" s="54" t="s">
        <v>43</v>
      </c>
      <c r="H471" s="54" t="s">
        <v>19</v>
      </c>
      <c r="I471" s="54" t="s">
        <v>24</v>
      </c>
      <c r="J471" s="54" t="s">
        <v>18</v>
      </c>
      <c r="K471" s="54" t="s">
        <v>18</v>
      </c>
      <c r="L471" s="54" t="s">
        <v>20</v>
      </c>
      <c r="M471" s="54" t="s">
        <v>37</v>
      </c>
      <c r="N471" s="54" t="s">
        <v>18</v>
      </c>
      <c r="O471" s="54" t="s">
        <v>24</v>
      </c>
      <c r="P471" s="54" t="s">
        <v>22</v>
      </c>
      <c r="Q471" s="54" t="s">
        <v>18</v>
      </c>
      <c r="R471" s="77" t="s">
        <v>140</v>
      </c>
      <c r="S471" s="55" t="s">
        <v>0</v>
      </c>
      <c r="T471" s="1">
        <f>10000-9745-255</f>
        <v>0</v>
      </c>
      <c r="U471" s="1">
        <f>226.8-200-26.8</f>
        <v>0</v>
      </c>
      <c r="V471" s="1">
        <f>8228.3-8228.3</f>
        <v>0</v>
      </c>
      <c r="W471" s="1">
        <v>0</v>
      </c>
      <c r="X471" s="1">
        <f t="shared" ref="X471" si="108">8228.3-8228.3</f>
        <v>0</v>
      </c>
      <c r="Y471" s="1">
        <v>0</v>
      </c>
      <c r="Z471" s="1">
        <v>8228.2999999999993</v>
      </c>
      <c r="AA471" s="59">
        <f t="shared" ref="AA471:AA498" si="109">SUM(T471:Z471)</f>
        <v>8228.2999999999993</v>
      </c>
      <c r="AB471" s="58">
        <v>2024</v>
      </c>
      <c r="AC471" s="118"/>
      <c r="AD471" s="101"/>
      <c r="AE471" s="101"/>
    </row>
    <row r="472" spans="1:31" ht="47.25" x14ac:dyDescent="0.25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78" t="s">
        <v>316</v>
      </c>
      <c r="S472" s="62" t="s">
        <v>52</v>
      </c>
      <c r="T472" s="3">
        <v>0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3">
        <v>7</v>
      </c>
      <c r="AA472" s="6">
        <f t="shared" si="109"/>
        <v>7</v>
      </c>
      <c r="AB472" s="41">
        <v>2024</v>
      </c>
      <c r="AC472" s="128"/>
      <c r="AD472" s="101"/>
      <c r="AE472" s="101"/>
    </row>
    <row r="473" spans="1:31" ht="63" x14ac:dyDescent="0.25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78" t="s">
        <v>317</v>
      </c>
      <c r="S473" s="62" t="s">
        <v>38</v>
      </c>
      <c r="T473" s="44">
        <v>0</v>
      </c>
      <c r="U473" s="44">
        <v>0</v>
      </c>
      <c r="V473" s="44">
        <v>0</v>
      </c>
      <c r="W473" s="44">
        <v>0</v>
      </c>
      <c r="X473" s="44">
        <v>0</v>
      </c>
      <c r="Y473" s="44">
        <v>0</v>
      </c>
      <c r="Z473" s="44">
        <v>7</v>
      </c>
      <c r="AA473" s="49">
        <f t="shared" si="109"/>
        <v>7</v>
      </c>
      <c r="AB473" s="41">
        <v>2024</v>
      </c>
      <c r="AC473" s="128"/>
      <c r="AD473" s="101"/>
      <c r="AE473" s="101"/>
    </row>
    <row r="474" spans="1:31" s="51" customFormat="1" ht="47.25" x14ac:dyDescent="0.25">
      <c r="A474" s="54"/>
      <c r="B474" s="54"/>
      <c r="C474" s="54"/>
      <c r="D474" s="54" t="s">
        <v>18</v>
      </c>
      <c r="E474" s="54" t="s">
        <v>21</v>
      </c>
      <c r="F474" s="54" t="s">
        <v>18</v>
      </c>
      <c r="G474" s="54" t="s">
        <v>22</v>
      </c>
      <c r="H474" s="54" t="s">
        <v>19</v>
      </c>
      <c r="I474" s="54" t="s">
        <v>24</v>
      </c>
      <c r="J474" s="54" t="s">
        <v>18</v>
      </c>
      <c r="K474" s="54" t="s">
        <v>265</v>
      </c>
      <c r="L474" s="54" t="s">
        <v>20</v>
      </c>
      <c r="M474" s="54" t="s">
        <v>21</v>
      </c>
      <c r="N474" s="54" t="s">
        <v>21</v>
      </c>
      <c r="O474" s="54" t="s">
        <v>21</v>
      </c>
      <c r="P474" s="54" t="s">
        <v>21</v>
      </c>
      <c r="Q474" s="54" t="s">
        <v>20</v>
      </c>
      <c r="R474" s="139" t="s">
        <v>329</v>
      </c>
      <c r="S474" s="58" t="s">
        <v>0</v>
      </c>
      <c r="T474" s="59">
        <f>T477+T480+T483+T486</f>
        <v>0</v>
      </c>
      <c r="U474" s="59">
        <f t="shared" ref="U474:V474" si="110">U477+U480+U483+U486</f>
        <v>0</v>
      </c>
      <c r="V474" s="59">
        <f t="shared" si="110"/>
        <v>0</v>
      </c>
      <c r="W474" s="59">
        <f>W477+W480+W483+W486+W489</f>
        <v>16089.1</v>
      </c>
      <c r="X474" s="59">
        <f t="shared" ref="X474:Z474" si="111">X477+X480+X483+X486+X489</f>
        <v>5000</v>
      </c>
      <c r="Y474" s="59">
        <f t="shared" si="111"/>
        <v>5000</v>
      </c>
      <c r="Z474" s="59">
        <f t="shared" si="111"/>
        <v>10762</v>
      </c>
      <c r="AA474" s="59">
        <f t="shared" si="109"/>
        <v>36851.1</v>
      </c>
      <c r="AB474" s="58">
        <v>2024</v>
      </c>
      <c r="AC474" s="33"/>
      <c r="AD474" s="50"/>
    </row>
    <row r="475" spans="1:31" s="51" customFormat="1" ht="31.5" x14ac:dyDescent="0.25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40" t="s">
        <v>237</v>
      </c>
      <c r="S475" s="52" t="s">
        <v>38</v>
      </c>
      <c r="T475" s="44">
        <f>T478+T481+T484+T487</f>
        <v>0</v>
      </c>
      <c r="U475" s="44">
        <f t="shared" ref="U475:V475" si="112">U478+U481+U484+U487</f>
        <v>0</v>
      </c>
      <c r="V475" s="44">
        <f t="shared" si="112"/>
        <v>0</v>
      </c>
      <c r="W475" s="44">
        <f>W478+W481+W484+W487+W492</f>
        <v>2</v>
      </c>
      <c r="X475" s="44">
        <f t="shared" ref="X475:Y475" si="113">X478+X481+X484+X487+X492</f>
        <v>5</v>
      </c>
      <c r="Y475" s="44">
        <f t="shared" si="113"/>
        <v>5</v>
      </c>
      <c r="Z475" s="44">
        <f t="shared" ref="Z475" si="114">Z478+Z481+Z484+Z487</f>
        <v>30</v>
      </c>
      <c r="AA475" s="49">
        <f t="shared" si="109"/>
        <v>42</v>
      </c>
      <c r="AB475" s="142">
        <v>2024</v>
      </c>
      <c r="AC475" s="33"/>
      <c r="AD475" s="50"/>
    </row>
    <row r="476" spans="1:31" s="8" customFormat="1" ht="31.5" x14ac:dyDescent="0.25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61" t="s">
        <v>238</v>
      </c>
      <c r="S476" s="62" t="s">
        <v>52</v>
      </c>
      <c r="T476" s="62">
        <f>T479+T482+T485+T488</f>
        <v>0</v>
      </c>
      <c r="U476" s="62">
        <f>U479+U482+U485+U488</f>
        <v>0</v>
      </c>
      <c r="V476" s="62">
        <f t="shared" ref="V476" si="115">V479+V482+V485+V488</f>
        <v>0</v>
      </c>
      <c r="W476" s="3">
        <f>W479+W482+W485+W488+W493</f>
        <v>4</v>
      </c>
      <c r="X476" s="3">
        <f t="shared" ref="X476:Y476" si="116">X479+X482+X485+X488+X493</f>
        <v>5</v>
      </c>
      <c r="Y476" s="3">
        <f t="shared" si="116"/>
        <v>5</v>
      </c>
      <c r="Z476" s="62">
        <f t="shared" ref="Z476" si="117">Z479+Z482+Z485+Z488</f>
        <v>58.2</v>
      </c>
      <c r="AA476" s="53">
        <f t="shared" si="109"/>
        <v>72.2</v>
      </c>
      <c r="AB476" s="142">
        <v>2024</v>
      </c>
      <c r="AC476" s="33"/>
      <c r="AD476" s="60"/>
    </row>
    <row r="477" spans="1:31" s="51" customFormat="1" ht="47.25" x14ac:dyDescent="0.25">
      <c r="A477" s="54" t="s">
        <v>18</v>
      </c>
      <c r="B477" s="54" t="s">
        <v>18</v>
      </c>
      <c r="C477" s="54" t="s">
        <v>22</v>
      </c>
      <c r="D477" s="54" t="s">
        <v>18</v>
      </c>
      <c r="E477" s="54" t="s">
        <v>21</v>
      </c>
      <c r="F477" s="54" t="s">
        <v>18</v>
      </c>
      <c r="G477" s="54" t="s">
        <v>22</v>
      </c>
      <c r="H477" s="54" t="s">
        <v>19</v>
      </c>
      <c r="I477" s="54" t="s">
        <v>24</v>
      </c>
      <c r="J477" s="54" t="s">
        <v>18</v>
      </c>
      <c r="K477" s="54" t="s">
        <v>265</v>
      </c>
      <c r="L477" s="54" t="s">
        <v>20</v>
      </c>
      <c r="M477" s="54" t="s">
        <v>21</v>
      </c>
      <c r="N477" s="54" t="s">
        <v>21</v>
      </c>
      <c r="O477" s="54" t="s">
        <v>21</v>
      </c>
      <c r="P477" s="54" t="s">
        <v>21</v>
      </c>
      <c r="Q477" s="54" t="s">
        <v>20</v>
      </c>
      <c r="R477" s="139" t="s">
        <v>329</v>
      </c>
      <c r="S477" s="55" t="s">
        <v>0</v>
      </c>
      <c r="T477" s="1">
        <v>0</v>
      </c>
      <c r="U477" s="1">
        <f>3100.4-200-2900.4</f>
        <v>0</v>
      </c>
      <c r="V477" s="1">
        <f>2000.4-2000.4</f>
        <v>0</v>
      </c>
      <c r="W477" s="1">
        <v>0</v>
      </c>
      <c r="X477" s="1">
        <f>3100.4-200-2900.4</f>
        <v>0</v>
      </c>
      <c r="Y477" s="1">
        <f>2000.4-2000.4</f>
        <v>0</v>
      </c>
      <c r="Z477" s="1">
        <v>3100.4</v>
      </c>
      <c r="AA477" s="59">
        <f t="shared" si="109"/>
        <v>3100.4</v>
      </c>
      <c r="AB477" s="58">
        <v>2024</v>
      </c>
      <c r="AC477" s="33"/>
      <c r="AD477" s="50"/>
    </row>
    <row r="478" spans="1:31" s="51" customFormat="1" ht="47.25" x14ac:dyDescent="0.25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40" t="s">
        <v>133</v>
      </c>
      <c r="S478" s="52" t="s">
        <v>38</v>
      </c>
      <c r="T478" s="44">
        <v>0</v>
      </c>
      <c r="U478" s="44">
        <v>0</v>
      </c>
      <c r="V478" s="44">
        <f>12-12</f>
        <v>0</v>
      </c>
      <c r="W478" s="44">
        <v>0</v>
      </c>
      <c r="X478" s="44">
        <v>0</v>
      </c>
      <c r="Y478" s="44">
        <f>12-12</f>
        <v>0</v>
      </c>
      <c r="Z478" s="44">
        <v>12</v>
      </c>
      <c r="AA478" s="49">
        <f t="shared" si="109"/>
        <v>12</v>
      </c>
      <c r="AB478" s="142">
        <v>2024</v>
      </c>
      <c r="AC478" s="33"/>
      <c r="AD478" s="50"/>
    </row>
    <row r="479" spans="1:31" s="51" customFormat="1" ht="47.25" x14ac:dyDescent="0.25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40" t="s">
        <v>134</v>
      </c>
      <c r="S479" s="52" t="s">
        <v>52</v>
      </c>
      <c r="T479" s="3">
        <v>0</v>
      </c>
      <c r="U479" s="3">
        <v>0</v>
      </c>
      <c r="V479" s="3">
        <v>0</v>
      </c>
      <c r="W479" s="3">
        <v>0</v>
      </c>
      <c r="X479" s="3">
        <v>0</v>
      </c>
      <c r="Y479" s="3">
        <v>0</v>
      </c>
      <c r="Z479" s="3">
        <v>19</v>
      </c>
      <c r="AA479" s="53">
        <f t="shared" si="109"/>
        <v>19</v>
      </c>
      <c r="AB479" s="142">
        <v>2024</v>
      </c>
      <c r="AC479" s="33"/>
      <c r="AD479" s="50"/>
    </row>
    <row r="480" spans="1:31" s="51" customFormat="1" ht="47.25" x14ac:dyDescent="0.25">
      <c r="A480" s="54" t="s">
        <v>18</v>
      </c>
      <c r="B480" s="54" t="s">
        <v>18</v>
      </c>
      <c r="C480" s="54" t="s">
        <v>24</v>
      </c>
      <c r="D480" s="54" t="s">
        <v>18</v>
      </c>
      <c r="E480" s="54" t="s">
        <v>21</v>
      </c>
      <c r="F480" s="54" t="s">
        <v>18</v>
      </c>
      <c r="G480" s="54" t="s">
        <v>22</v>
      </c>
      <c r="H480" s="54" t="s">
        <v>19</v>
      </c>
      <c r="I480" s="54" t="s">
        <v>24</v>
      </c>
      <c r="J480" s="54" t="s">
        <v>18</v>
      </c>
      <c r="K480" s="54" t="s">
        <v>265</v>
      </c>
      <c r="L480" s="54" t="s">
        <v>20</v>
      </c>
      <c r="M480" s="54" t="s">
        <v>21</v>
      </c>
      <c r="N480" s="54" t="s">
        <v>21</v>
      </c>
      <c r="O480" s="54" t="s">
        <v>21</v>
      </c>
      <c r="P480" s="54" t="s">
        <v>21</v>
      </c>
      <c r="Q480" s="54" t="s">
        <v>20</v>
      </c>
      <c r="R480" s="139" t="s">
        <v>329</v>
      </c>
      <c r="S480" s="55" t="s">
        <v>0</v>
      </c>
      <c r="T480" s="1">
        <v>0</v>
      </c>
      <c r="U480" s="1">
        <f>2000-100-1900</f>
        <v>0</v>
      </c>
      <c r="V480" s="1">
        <f>2000-2000</f>
        <v>0</v>
      </c>
      <c r="W480" s="1">
        <v>0</v>
      </c>
      <c r="X480" s="1">
        <f>2000-100-1900</f>
        <v>0</v>
      </c>
      <c r="Y480" s="1">
        <f>2000-2000</f>
        <v>0</v>
      </c>
      <c r="Z480" s="1">
        <v>2000</v>
      </c>
      <c r="AA480" s="59">
        <f t="shared" si="109"/>
        <v>2000</v>
      </c>
      <c r="AB480" s="58">
        <v>2024</v>
      </c>
      <c r="AC480" s="33"/>
      <c r="AD480" s="50"/>
    </row>
    <row r="481" spans="1:30" s="51" customFormat="1" ht="47.25" x14ac:dyDescent="0.25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40" t="s">
        <v>273</v>
      </c>
      <c r="S481" s="52" t="s">
        <v>38</v>
      </c>
      <c r="T481" s="44">
        <v>0</v>
      </c>
      <c r="U481" s="44">
        <v>0</v>
      </c>
      <c r="V481" s="44">
        <v>0</v>
      </c>
      <c r="W481" s="44">
        <v>0</v>
      </c>
      <c r="X481" s="44">
        <v>0</v>
      </c>
      <c r="Y481" s="44">
        <v>0</v>
      </c>
      <c r="Z481" s="44">
        <v>9</v>
      </c>
      <c r="AA481" s="49">
        <f t="shared" si="109"/>
        <v>9</v>
      </c>
      <c r="AB481" s="142">
        <v>2024</v>
      </c>
      <c r="AC481" s="33"/>
      <c r="AD481" s="50"/>
    </row>
    <row r="482" spans="1:30" s="51" customFormat="1" ht="47.25" x14ac:dyDescent="0.25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40" t="s">
        <v>274</v>
      </c>
      <c r="S482" s="52" t="s">
        <v>52</v>
      </c>
      <c r="T482" s="3">
        <v>0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">
        <v>14.3</v>
      </c>
      <c r="AA482" s="53">
        <f t="shared" si="109"/>
        <v>14.3</v>
      </c>
      <c r="AB482" s="142">
        <v>2024</v>
      </c>
      <c r="AC482" s="121"/>
      <c r="AD482" s="113"/>
    </row>
    <row r="483" spans="1:30" s="51" customFormat="1" ht="47.25" x14ac:dyDescent="0.25">
      <c r="A483" s="54" t="s">
        <v>18</v>
      </c>
      <c r="B483" s="54" t="s">
        <v>18</v>
      </c>
      <c r="C483" s="54" t="s">
        <v>21</v>
      </c>
      <c r="D483" s="54" t="s">
        <v>18</v>
      </c>
      <c r="E483" s="54" t="s">
        <v>21</v>
      </c>
      <c r="F483" s="54" t="s">
        <v>18</v>
      </c>
      <c r="G483" s="54" t="s">
        <v>22</v>
      </c>
      <c r="H483" s="54" t="s">
        <v>19</v>
      </c>
      <c r="I483" s="54" t="s">
        <v>24</v>
      </c>
      <c r="J483" s="54" t="s">
        <v>18</v>
      </c>
      <c r="K483" s="54" t="s">
        <v>265</v>
      </c>
      <c r="L483" s="54" t="s">
        <v>20</v>
      </c>
      <c r="M483" s="54" t="s">
        <v>21</v>
      </c>
      <c r="N483" s="54" t="s">
        <v>21</v>
      </c>
      <c r="O483" s="54" t="s">
        <v>21</v>
      </c>
      <c r="P483" s="54" t="s">
        <v>21</v>
      </c>
      <c r="Q483" s="54" t="s">
        <v>20</v>
      </c>
      <c r="R483" s="139" t="s">
        <v>330</v>
      </c>
      <c r="S483" s="55" t="s">
        <v>0</v>
      </c>
      <c r="T483" s="1">
        <v>0</v>
      </c>
      <c r="U483" s="1">
        <f>2860.5-100-2760.5</f>
        <v>0</v>
      </c>
      <c r="V483" s="1">
        <f>2860.6-2860.6</f>
        <v>0</v>
      </c>
      <c r="W483" s="1">
        <v>0</v>
      </c>
      <c r="X483" s="1">
        <f>2860.5-100-2760.5</f>
        <v>0</v>
      </c>
      <c r="Y483" s="1">
        <f>2860.6-2860.6</f>
        <v>0</v>
      </c>
      <c r="Z483" s="1">
        <v>2860.5</v>
      </c>
      <c r="AA483" s="59">
        <f t="shared" si="109"/>
        <v>2860.5</v>
      </c>
      <c r="AB483" s="58">
        <v>2024</v>
      </c>
      <c r="AC483" s="33"/>
      <c r="AD483" s="50"/>
    </row>
    <row r="484" spans="1:30" s="51" customFormat="1" ht="47.25" x14ac:dyDescent="0.25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40" t="s">
        <v>275</v>
      </c>
      <c r="S484" s="52" t="s">
        <v>38</v>
      </c>
      <c r="T484" s="44">
        <v>0</v>
      </c>
      <c r="U484" s="44">
        <v>0</v>
      </c>
      <c r="V484" s="44">
        <v>0</v>
      </c>
      <c r="W484" s="44">
        <v>0</v>
      </c>
      <c r="X484" s="44">
        <v>0</v>
      </c>
      <c r="Y484" s="44">
        <v>0</v>
      </c>
      <c r="Z484" s="44">
        <v>2</v>
      </c>
      <c r="AA484" s="49">
        <f t="shared" si="109"/>
        <v>2</v>
      </c>
      <c r="AB484" s="142">
        <v>2024</v>
      </c>
      <c r="AC484" s="33"/>
      <c r="AD484" s="50"/>
    </row>
    <row r="485" spans="1:30" s="51" customFormat="1" ht="47.25" x14ac:dyDescent="0.25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40" t="s">
        <v>276</v>
      </c>
      <c r="S485" s="52" t="s">
        <v>52</v>
      </c>
      <c r="T485" s="3">
        <v>0</v>
      </c>
      <c r="U485" s="3">
        <v>0</v>
      </c>
      <c r="V485" s="3">
        <v>0</v>
      </c>
      <c r="W485" s="3">
        <v>0</v>
      </c>
      <c r="X485" s="3">
        <v>0</v>
      </c>
      <c r="Y485" s="3">
        <v>0</v>
      </c>
      <c r="Z485" s="3">
        <v>13.6</v>
      </c>
      <c r="AA485" s="53">
        <f t="shared" si="109"/>
        <v>13.6</v>
      </c>
      <c r="AB485" s="142">
        <v>2024</v>
      </c>
      <c r="AC485" s="33"/>
      <c r="AD485" s="50"/>
    </row>
    <row r="486" spans="1:30" s="51" customFormat="1" ht="47.25" x14ac:dyDescent="0.25">
      <c r="A486" s="54" t="s">
        <v>18</v>
      </c>
      <c r="B486" s="54" t="s">
        <v>18</v>
      </c>
      <c r="C486" s="54" t="s">
        <v>25</v>
      </c>
      <c r="D486" s="54" t="s">
        <v>18</v>
      </c>
      <c r="E486" s="54" t="s">
        <v>21</v>
      </c>
      <c r="F486" s="54" t="s">
        <v>18</v>
      </c>
      <c r="G486" s="54" t="s">
        <v>22</v>
      </c>
      <c r="H486" s="54" t="s">
        <v>19</v>
      </c>
      <c r="I486" s="54" t="s">
        <v>24</v>
      </c>
      <c r="J486" s="54" t="s">
        <v>18</v>
      </c>
      <c r="K486" s="54" t="s">
        <v>265</v>
      </c>
      <c r="L486" s="54" t="s">
        <v>20</v>
      </c>
      <c r="M486" s="54" t="s">
        <v>21</v>
      </c>
      <c r="N486" s="54" t="s">
        <v>21</v>
      </c>
      <c r="O486" s="54" t="s">
        <v>21</v>
      </c>
      <c r="P486" s="54" t="s">
        <v>21</v>
      </c>
      <c r="Q486" s="54" t="s">
        <v>20</v>
      </c>
      <c r="R486" s="139" t="s">
        <v>329</v>
      </c>
      <c r="S486" s="55" t="s">
        <v>0</v>
      </c>
      <c r="T486" s="1">
        <v>0</v>
      </c>
      <c r="U486" s="1">
        <f>2801.1-100-2701.1</f>
        <v>0</v>
      </c>
      <c r="V486" s="1">
        <f>2801.1-2801.1</f>
        <v>0</v>
      </c>
      <c r="W486" s="1">
        <v>0</v>
      </c>
      <c r="X486" s="1">
        <f>2801.1-100-2701.1</f>
        <v>0</v>
      </c>
      <c r="Y486" s="1">
        <f>2801.1-2801.1</f>
        <v>0</v>
      </c>
      <c r="Z486" s="1">
        <v>2801.1</v>
      </c>
      <c r="AA486" s="59">
        <f t="shared" si="109"/>
        <v>2801.1</v>
      </c>
      <c r="AB486" s="58">
        <v>2024</v>
      </c>
      <c r="AC486" s="33"/>
      <c r="AD486" s="50"/>
    </row>
    <row r="487" spans="1:30" s="51" customFormat="1" ht="47.25" x14ac:dyDescent="0.25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40" t="s">
        <v>277</v>
      </c>
      <c r="S487" s="52" t="s">
        <v>38</v>
      </c>
      <c r="T487" s="44">
        <v>0</v>
      </c>
      <c r="U487" s="44">
        <v>0</v>
      </c>
      <c r="V487" s="44">
        <v>0</v>
      </c>
      <c r="W487" s="44">
        <v>0</v>
      </c>
      <c r="X487" s="44">
        <v>0</v>
      </c>
      <c r="Y487" s="44">
        <v>0</v>
      </c>
      <c r="Z487" s="44">
        <v>7</v>
      </c>
      <c r="AA487" s="49">
        <f t="shared" si="109"/>
        <v>7</v>
      </c>
      <c r="AB487" s="142">
        <v>2024</v>
      </c>
      <c r="AC487" s="33"/>
      <c r="AD487" s="50"/>
    </row>
    <row r="488" spans="1:30" s="51" customFormat="1" ht="47.25" x14ac:dyDescent="0.25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40" t="s">
        <v>278</v>
      </c>
      <c r="S488" s="52" t="s">
        <v>52</v>
      </c>
      <c r="T488" s="3">
        <v>0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">
        <v>11.3</v>
      </c>
      <c r="AA488" s="53">
        <f t="shared" si="109"/>
        <v>11.3</v>
      </c>
      <c r="AB488" s="142">
        <v>2024</v>
      </c>
      <c r="AC488" s="33"/>
      <c r="AD488" s="50"/>
    </row>
    <row r="489" spans="1:30" s="51" customFormat="1" x14ac:dyDescent="0.25">
      <c r="A489" s="54" t="s">
        <v>18</v>
      </c>
      <c r="B489" s="54" t="s">
        <v>24</v>
      </c>
      <c r="C489" s="54" t="s">
        <v>22</v>
      </c>
      <c r="D489" s="54" t="s">
        <v>18</v>
      </c>
      <c r="E489" s="54" t="s">
        <v>21</v>
      </c>
      <c r="F489" s="54" t="s">
        <v>18</v>
      </c>
      <c r="G489" s="54" t="s">
        <v>22</v>
      </c>
      <c r="H489" s="54" t="s">
        <v>19</v>
      </c>
      <c r="I489" s="54" t="s">
        <v>24</v>
      </c>
      <c r="J489" s="54" t="s">
        <v>18</v>
      </c>
      <c r="K489" s="54" t="s">
        <v>18</v>
      </c>
      <c r="L489" s="54" t="s">
        <v>18</v>
      </c>
      <c r="M489" s="54" t="s">
        <v>18</v>
      </c>
      <c r="N489" s="54" t="s">
        <v>18</v>
      </c>
      <c r="O489" s="54" t="s">
        <v>18</v>
      </c>
      <c r="P489" s="54" t="s">
        <v>18</v>
      </c>
      <c r="Q489" s="54" t="s">
        <v>18</v>
      </c>
      <c r="R489" s="157" t="s">
        <v>329</v>
      </c>
      <c r="S489" s="55" t="s">
        <v>0</v>
      </c>
      <c r="T489" s="1">
        <v>0</v>
      </c>
      <c r="U489" s="1">
        <f>2801.1-100-2701.1</f>
        <v>0</v>
      </c>
      <c r="V489" s="1">
        <f>2801.1-2801.1</f>
        <v>0</v>
      </c>
      <c r="W489" s="1">
        <f>SUM(W490:W491)</f>
        <v>16089.1</v>
      </c>
      <c r="X489" s="1">
        <f t="shared" ref="X489:Z489" si="118">SUM(X490:X491)</f>
        <v>5000</v>
      </c>
      <c r="Y489" s="1">
        <f t="shared" si="118"/>
        <v>5000</v>
      </c>
      <c r="Z489" s="1">
        <f t="shared" si="118"/>
        <v>0</v>
      </c>
      <c r="AA489" s="59">
        <f t="shared" ref="AA489:AA496" si="119">SUM(T489:Z489)</f>
        <v>26089.1</v>
      </c>
      <c r="AB489" s="58">
        <v>2023</v>
      </c>
      <c r="AC489" s="33"/>
      <c r="AD489" s="50"/>
    </row>
    <row r="490" spans="1:30" s="51" customFormat="1" x14ac:dyDescent="0.25">
      <c r="A490" s="54" t="s">
        <v>18</v>
      </c>
      <c r="B490" s="54" t="s">
        <v>24</v>
      </c>
      <c r="C490" s="54" t="s">
        <v>22</v>
      </c>
      <c r="D490" s="54" t="s">
        <v>18</v>
      </c>
      <c r="E490" s="54" t="s">
        <v>21</v>
      </c>
      <c r="F490" s="54" t="s">
        <v>18</v>
      </c>
      <c r="G490" s="54" t="s">
        <v>22</v>
      </c>
      <c r="H490" s="54" t="s">
        <v>19</v>
      </c>
      <c r="I490" s="54" t="s">
        <v>24</v>
      </c>
      <c r="J490" s="54" t="s">
        <v>18</v>
      </c>
      <c r="K490" s="54" t="s">
        <v>265</v>
      </c>
      <c r="L490" s="54" t="s">
        <v>20</v>
      </c>
      <c r="M490" s="54" t="s">
        <v>21</v>
      </c>
      <c r="N490" s="54" t="s">
        <v>21</v>
      </c>
      <c r="O490" s="54" t="s">
        <v>21</v>
      </c>
      <c r="P490" s="54" t="s">
        <v>21</v>
      </c>
      <c r="Q490" s="54" t="s">
        <v>20</v>
      </c>
      <c r="R490" s="158"/>
      <c r="S490" s="55" t="s">
        <v>0</v>
      </c>
      <c r="T490" s="1">
        <v>0</v>
      </c>
      <c r="U490" s="1">
        <f t="shared" ref="U490:U491" si="120">2801.1-100-2701.1</f>
        <v>0</v>
      </c>
      <c r="V490" s="1">
        <f t="shared" ref="V490:V491" si="121">2801.1-2801.1</f>
        <v>0</v>
      </c>
      <c r="W490" s="1">
        <v>15752</v>
      </c>
      <c r="X490" s="1">
        <v>5000</v>
      </c>
      <c r="Y490" s="1">
        <v>5000</v>
      </c>
      <c r="Z490" s="1">
        <v>0</v>
      </c>
      <c r="AA490" s="59">
        <f t="shared" si="119"/>
        <v>25752</v>
      </c>
      <c r="AB490" s="58">
        <v>2023</v>
      </c>
      <c r="AC490" s="33"/>
      <c r="AD490" s="50"/>
    </row>
    <row r="491" spans="1:30" s="51" customFormat="1" x14ac:dyDescent="0.25">
      <c r="A491" s="54" t="s">
        <v>18</v>
      </c>
      <c r="B491" s="54" t="s">
        <v>24</v>
      </c>
      <c r="C491" s="54" t="s">
        <v>22</v>
      </c>
      <c r="D491" s="54" t="s">
        <v>18</v>
      </c>
      <c r="E491" s="54" t="s">
        <v>21</v>
      </c>
      <c r="F491" s="54" t="s">
        <v>18</v>
      </c>
      <c r="G491" s="54" t="s">
        <v>22</v>
      </c>
      <c r="H491" s="54" t="s">
        <v>19</v>
      </c>
      <c r="I491" s="54" t="s">
        <v>24</v>
      </c>
      <c r="J491" s="54" t="s">
        <v>18</v>
      </c>
      <c r="K491" s="54" t="s">
        <v>18</v>
      </c>
      <c r="L491" s="54" t="s">
        <v>20</v>
      </c>
      <c r="M491" s="54" t="s">
        <v>43</v>
      </c>
      <c r="N491" s="54" t="s">
        <v>43</v>
      </c>
      <c r="O491" s="54" t="s">
        <v>43</v>
      </c>
      <c r="P491" s="54" t="s">
        <v>43</v>
      </c>
      <c r="Q491" s="54" t="s">
        <v>43</v>
      </c>
      <c r="R491" s="159"/>
      <c r="S491" s="55" t="s">
        <v>0</v>
      </c>
      <c r="T491" s="1">
        <v>0</v>
      </c>
      <c r="U491" s="1">
        <f t="shared" si="120"/>
        <v>0</v>
      </c>
      <c r="V491" s="1">
        <f t="shared" si="121"/>
        <v>0</v>
      </c>
      <c r="W491" s="1">
        <v>337.1</v>
      </c>
      <c r="X491" s="1">
        <v>0</v>
      </c>
      <c r="Y491" s="1">
        <v>0</v>
      </c>
      <c r="Z491" s="1">
        <v>0</v>
      </c>
      <c r="AA491" s="59">
        <f t="shared" si="119"/>
        <v>337.1</v>
      </c>
      <c r="AB491" s="58">
        <v>2023</v>
      </c>
      <c r="AC491" s="33"/>
      <c r="AD491" s="50"/>
    </row>
    <row r="492" spans="1:30" s="51" customFormat="1" ht="47.25" x14ac:dyDescent="0.25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40" t="s">
        <v>336</v>
      </c>
      <c r="S492" s="52" t="s">
        <v>38</v>
      </c>
      <c r="T492" s="44">
        <v>0</v>
      </c>
      <c r="U492" s="44">
        <v>0</v>
      </c>
      <c r="V492" s="44">
        <v>0</v>
      </c>
      <c r="W492" s="44">
        <v>2</v>
      </c>
      <c r="X492" s="44">
        <v>5</v>
      </c>
      <c r="Y492" s="44">
        <v>5</v>
      </c>
      <c r="Z492" s="44">
        <v>0</v>
      </c>
      <c r="AA492" s="49">
        <f t="shared" si="119"/>
        <v>12</v>
      </c>
      <c r="AB492" s="142">
        <v>2023</v>
      </c>
      <c r="AC492" s="33"/>
      <c r="AD492" s="50"/>
    </row>
    <row r="493" spans="1:30" s="51" customFormat="1" ht="47.25" x14ac:dyDescent="0.25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40" t="s">
        <v>337</v>
      </c>
      <c r="S493" s="52" t="s">
        <v>52</v>
      </c>
      <c r="T493" s="3">
        <v>0</v>
      </c>
      <c r="U493" s="3">
        <v>0</v>
      </c>
      <c r="V493" s="3">
        <v>0</v>
      </c>
      <c r="W493" s="3">
        <v>4</v>
      </c>
      <c r="X493" s="3">
        <v>5</v>
      </c>
      <c r="Y493" s="3">
        <v>5</v>
      </c>
      <c r="Z493" s="3">
        <v>0</v>
      </c>
      <c r="AA493" s="53">
        <f t="shared" si="119"/>
        <v>14</v>
      </c>
      <c r="AB493" s="142">
        <v>2023</v>
      </c>
      <c r="AC493" s="33"/>
      <c r="AD493" s="50"/>
    </row>
    <row r="494" spans="1:30" s="51" customFormat="1" ht="31.5" x14ac:dyDescent="0.25">
      <c r="A494" s="54" t="s">
        <v>18</v>
      </c>
      <c r="B494" s="54" t="s">
        <v>18</v>
      </c>
      <c r="C494" s="54" t="s">
        <v>43</v>
      </c>
      <c r="D494" s="54" t="s">
        <v>18</v>
      </c>
      <c r="E494" s="54" t="s">
        <v>21</v>
      </c>
      <c r="F494" s="54" t="s">
        <v>18</v>
      </c>
      <c r="G494" s="54" t="s">
        <v>22</v>
      </c>
      <c r="H494" s="54" t="s">
        <v>19</v>
      </c>
      <c r="I494" s="54" t="s">
        <v>24</v>
      </c>
      <c r="J494" s="54" t="s">
        <v>18</v>
      </c>
      <c r="K494" s="54" t="s">
        <v>18</v>
      </c>
      <c r="L494" s="54" t="s">
        <v>20</v>
      </c>
      <c r="M494" s="54" t="s">
        <v>359</v>
      </c>
      <c r="N494" s="54" t="s">
        <v>360</v>
      </c>
      <c r="O494" s="54" t="s">
        <v>18</v>
      </c>
      <c r="P494" s="54" t="s">
        <v>18</v>
      </c>
      <c r="Q494" s="54" t="s">
        <v>18</v>
      </c>
      <c r="R494" s="77" t="s">
        <v>340</v>
      </c>
      <c r="S494" s="55" t="s">
        <v>0</v>
      </c>
      <c r="T494" s="59">
        <f>10000-9745-255</f>
        <v>0</v>
      </c>
      <c r="U494" s="59">
        <f>226.8-200-26.8</f>
        <v>0</v>
      </c>
      <c r="V494" s="59">
        <f>8228.3-8228.3</f>
        <v>0</v>
      </c>
      <c r="W494" s="59">
        <v>5000</v>
      </c>
      <c r="X494" s="59">
        <v>5000</v>
      </c>
      <c r="Y494" s="59">
        <v>5000</v>
      </c>
      <c r="Z494" s="59">
        <v>0</v>
      </c>
      <c r="AA494" s="59">
        <f t="shared" si="119"/>
        <v>15000</v>
      </c>
      <c r="AB494" s="58">
        <v>2023</v>
      </c>
      <c r="AC494" s="33"/>
      <c r="AD494" s="50"/>
    </row>
    <row r="495" spans="1:30" s="51" customFormat="1" ht="31.5" x14ac:dyDescent="0.2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78" t="s">
        <v>338</v>
      </c>
      <c r="S495" s="62" t="s">
        <v>52</v>
      </c>
      <c r="T495" s="3">
        <v>0</v>
      </c>
      <c r="U495" s="3">
        <v>0</v>
      </c>
      <c r="V495" s="3">
        <v>0</v>
      </c>
      <c r="W495" s="3">
        <v>5</v>
      </c>
      <c r="X495" s="3">
        <v>5</v>
      </c>
      <c r="Y495" s="3">
        <v>5</v>
      </c>
      <c r="Z495" s="3">
        <v>0</v>
      </c>
      <c r="AA495" s="6">
        <f t="shared" si="119"/>
        <v>15</v>
      </c>
      <c r="AB495" s="41">
        <v>2023</v>
      </c>
      <c r="AC495" s="33"/>
      <c r="AD495" s="50"/>
    </row>
    <row r="496" spans="1:30" s="51" customFormat="1" ht="31.5" x14ac:dyDescent="0.25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78" t="s">
        <v>339</v>
      </c>
      <c r="S496" s="62" t="s">
        <v>38</v>
      </c>
      <c r="T496" s="44">
        <v>0</v>
      </c>
      <c r="U496" s="44">
        <v>0</v>
      </c>
      <c r="V496" s="44">
        <v>0</v>
      </c>
      <c r="W496" s="44">
        <v>5</v>
      </c>
      <c r="X496" s="44">
        <v>5</v>
      </c>
      <c r="Y496" s="44">
        <v>5</v>
      </c>
      <c r="Z496" s="44">
        <v>0</v>
      </c>
      <c r="AA496" s="49">
        <f t="shared" si="119"/>
        <v>15</v>
      </c>
      <c r="AB496" s="41">
        <v>2023</v>
      </c>
      <c r="AC496" s="33"/>
      <c r="AD496" s="50"/>
    </row>
    <row r="497" spans="1:31" ht="64.900000000000006" customHeight="1" x14ac:dyDescent="0.25">
      <c r="A497" s="46"/>
      <c r="B497" s="46"/>
      <c r="C497" s="46"/>
      <c r="D497" s="46"/>
      <c r="E497" s="46"/>
      <c r="F497" s="46"/>
      <c r="G497" s="46"/>
      <c r="H497" s="46" t="s">
        <v>19</v>
      </c>
      <c r="I497" s="46" t="s">
        <v>24</v>
      </c>
      <c r="J497" s="46" t="s">
        <v>18</v>
      </c>
      <c r="K497" s="46" t="s">
        <v>18</v>
      </c>
      <c r="L497" s="46" t="s">
        <v>22</v>
      </c>
      <c r="M497" s="46" t="s">
        <v>18</v>
      </c>
      <c r="N497" s="46" t="s">
        <v>18</v>
      </c>
      <c r="O497" s="46" t="s">
        <v>18</v>
      </c>
      <c r="P497" s="46" t="s">
        <v>18</v>
      </c>
      <c r="Q497" s="46" t="s">
        <v>18</v>
      </c>
      <c r="R497" s="100" t="s">
        <v>55</v>
      </c>
      <c r="S497" s="149" t="s">
        <v>0</v>
      </c>
      <c r="T497" s="148">
        <f>T501++T516+T519+T540</f>
        <v>7230.2999999999993</v>
      </c>
      <c r="U497" s="148">
        <f>U501++U516+U519+U540+U552+U550+U554+U556</f>
        <v>12898</v>
      </c>
      <c r="V497" s="148">
        <f>V501++V516+V519+V540</f>
        <v>3228.7</v>
      </c>
      <c r="W497" s="148">
        <f>W501++W516+W519+W540</f>
        <v>4484</v>
      </c>
      <c r="X497" s="148">
        <f>X501++X516+X519+X540</f>
        <v>4484</v>
      </c>
      <c r="Y497" s="148">
        <f>Y501++Y516+Y519+Y540</f>
        <v>4484</v>
      </c>
      <c r="Z497" s="148">
        <f>Z501++Z516+Z519+Z540</f>
        <v>7667.1</v>
      </c>
      <c r="AA497" s="148">
        <f t="shared" si="109"/>
        <v>44476.1</v>
      </c>
      <c r="AB497" s="149">
        <v>2024</v>
      </c>
      <c r="AC497" s="120"/>
    </row>
    <row r="498" spans="1:31" ht="31.5" x14ac:dyDescent="0.25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48" t="s">
        <v>141</v>
      </c>
      <c r="S498" s="142" t="s">
        <v>31</v>
      </c>
      <c r="T498" s="4">
        <f t="shared" ref="T498:Y498" si="122">T502</f>
        <v>10473.4</v>
      </c>
      <c r="U498" s="4">
        <f t="shared" si="122"/>
        <v>4682.5</v>
      </c>
      <c r="V498" s="4">
        <f t="shared" si="122"/>
        <v>4156.2</v>
      </c>
      <c r="W498" s="4">
        <f t="shared" si="122"/>
        <v>7918.3</v>
      </c>
      <c r="X498" s="4">
        <f t="shared" si="122"/>
        <v>7918.3</v>
      </c>
      <c r="Y498" s="4">
        <f t="shared" si="122"/>
        <v>7918.3</v>
      </c>
      <c r="Z498" s="4">
        <f t="shared" ref="Z498" si="123">Z502</f>
        <v>7918.3</v>
      </c>
      <c r="AA498" s="5">
        <f t="shared" si="109"/>
        <v>50985.3</v>
      </c>
      <c r="AB498" s="142">
        <v>2024</v>
      </c>
      <c r="AC498" s="33"/>
    </row>
    <row r="499" spans="1:31" ht="31.5" x14ac:dyDescent="0.25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48" t="s">
        <v>142</v>
      </c>
      <c r="S499" s="142" t="s">
        <v>50</v>
      </c>
      <c r="T499" s="44">
        <f t="shared" ref="T499:Y499" si="124">T520</f>
        <v>450</v>
      </c>
      <c r="U499" s="44">
        <f t="shared" si="124"/>
        <v>450</v>
      </c>
      <c r="V499" s="44">
        <f t="shared" si="124"/>
        <v>0</v>
      </c>
      <c r="W499" s="44">
        <f t="shared" si="124"/>
        <v>0</v>
      </c>
      <c r="X499" s="44">
        <f t="shared" si="124"/>
        <v>0</v>
      </c>
      <c r="Y499" s="44">
        <f t="shared" si="124"/>
        <v>0</v>
      </c>
      <c r="Z499" s="44">
        <f t="shared" ref="Z499" si="125">Z520</f>
        <v>433</v>
      </c>
      <c r="AA499" s="45">
        <f t="shared" ref="AA499:AA500" si="126">SUM(T499:Z499)</f>
        <v>1333</v>
      </c>
      <c r="AB499" s="142">
        <v>2024</v>
      </c>
      <c r="AC499" s="33"/>
    </row>
    <row r="500" spans="1:31" ht="46.15" customHeight="1" x14ac:dyDescent="0.25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48" t="s">
        <v>143</v>
      </c>
      <c r="S500" s="41" t="s">
        <v>38</v>
      </c>
      <c r="T500" s="44">
        <f t="shared" ref="T500:V500" si="127">T541</f>
        <v>27</v>
      </c>
      <c r="U500" s="44">
        <f t="shared" si="127"/>
        <v>4</v>
      </c>
      <c r="V500" s="44">
        <f t="shared" si="127"/>
        <v>16</v>
      </c>
      <c r="W500" s="44">
        <f>W503</f>
        <v>17</v>
      </c>
      <c r="X500" s="44">
        <f t="shared" ref="X500:Z500" si="128">X503</f>
        <v>17</v>
      </c>
      <c r="Y500" s="44">
        <f t="shared" si="128"/>
        <v>17</v>
      </c>
      <c r="Z500" s="44">
        <f t="shared" si="128"/>
        <v>17</v>
      </c>
      <c r="AA500" s="45">
        <f t="shared" si="126"/>
        <v>115</v>
      </c>
      <c r="AB500" s="41">
        <v>2024</v>
      </c>
      <c r="AC500" s="33"/>
    </row>
    <row r="501" spans="1:31" ht="31.5" x14ac:dyDescent="0.25">
      <c r="A501" s="54"/>
      <c r="B501" s="54"/>
      <c r="C501" s="54"/>
      <c r="D501" s="54" t="s">
        <v>18</v>
      </c>
      <c r="E501" s="54" t="s">
        <v>21</v>
      </c>
      <c r="F501" s="54" t="s">
        <v>18</v>
      </c>
      <c r="G501" s="54" t="s">
        <v>22</v>
      </c>
      <c r="H501" s="54" t="s">
        <v>19</v>
      </c>
      <c r="I501" s="54" t="s">
        <v>24</v>
      </c>
      <c r="J501" s="54" t="s">
        <v>18</v>
      </c>
      <c r="K501" s="54" t="s">
        <v>18</v>
      </c>
      <c r="L501" s="54" t="s">
        <v>22</v>
      </c>
      <c r="M501" s="54" t="s">
        <v>43</v>
      </c>
      <c r="N501" s="54" t="s">
        <v>43</v>
      </c>
      <c r="O501" s="54" t="s">
        <v>43</v>
      </c>
      <c r="P501" s="54" t="s">
        <v>43</v>
      </c>
      <c r="Q501" s="54" t="s">
        <v>43</v>
      </c>
      <c r="R501" s="77" t="s">
        <v>144</v>
      </c>
      <c r="S501" s="58" t="s">
        <v>0</v>
      </c>
      <c r="T501" s="59">
        <f>T504+T510+T507+T513</f>
        <v>5760.9</v>
      </c>
      <c r="U501" s="59">
        <f t="shared" ref="U501:Y501" si="129">U504+U510+U507+U513</f>
        <v>5337.7</v>
      </c>
      <c r="V501" s="59">
        <f>V504+V510+V507+V513</f>
        <v>3171</v>
      </c>
      <c r="W501" s="59">
        <f t="shared" si="129"/>
        <v>4484</v>
      </c>
      <c r="X501" s="59">
        <f t="shared" si="129"/>
        <v>4484</v>
      </c>
      <c r="Y501" s="59">
        <f t="shared" si="129"/>
        <v>4484</v>
      </c>
      <c r="Z501" s="59">
        <f t="shared" ref="Z501" si="130">Z504+Z510+Z507+Z513</f>
        <v>4484</v>
      </c>
      <c r="AA501" s="59">
        <f t="shared" ref="AA501:AA517" si="131">SUM(T501:Z501)</f>
        <v>32205.599999999999</v>
      </c>
      <c r="AB501" s="58">
        <v>2024</v>
      </c>
      <c r="AC501" s="120"/>
    </row>
    <row r="502" spans="1:31" ht="31.5" x14ac:dyDescent="0.25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5" t="s">
        <v>141</v>
      </c>
      <c r="S502" s="142" t="s">
        <v>31</v>
      </c>
      <c r="T502" s="3">
        <f>T505+T508+T511+T514</f>
        <v>10473.4</v>
      </c>
      <c r="U502" s="3">
        <f t="shared" ref="U502:Y502" si="132">U505+U508+U511+U514</f>
        <v>4682.5</v>
      </c>
      <c r="V502" s="3">
        <f t="shared" si="132"/>
        <v>4156.2</v>
      </c>
      <c r="W502" s="3">
        <f t="shared" si="132"/>
        <v>7918.3</v>
      </c>
      <c r="X502" s="3">
        <f>X505+X508+X511+X514</f>
        <v>7918.3</v>
      </c>
      <c r="Y502" s="3">
        <f t="shared" si="132"/>
        <v>7918.3</v>
      </c>
      <c r="Z502" s="3">
        <f t="shared" ref="Z502:Z503" si="133">Z505+Z508+Z511+Z514</f>
        <v>7918.3</v>
      </c>
      <c r="AA502" s="5">
        <f t="shared" si="131"/>
        <v>50985.3</v>
      </c>
      <c r="AB502" s="41">
        <v>2024</v>
      </c>
      <c r="AC502" s="123"/>
      <c r="AD502" s="102"/>
    </row>
    <row r="503" spans="1:31" ht="47.25" x14ac:dyDescent="0.25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5" t="s">
        <v>343</v>
      </c>
      <c r="S503" s="142" t="s">
        <v>38</v>
      </c>
      <c r="T503" s="44">
        <f>T506+T509+T512+T515</f>
        <v>0</v>
      </c>
      <c r="U503" s="44">
        <f t="shared" ref="U503:Y503" si="134">U506+U509+U512+U515</f>
        <v>0</v>
      </c>
      <c r="V503" s="44">
        <f t="shared" si="134"/>
        <v>0</v>
      </c>
      <c r="W503" s="44">
        <f t="shared" si="134"/>
        <v>17</v>
      </c>
      <c r="X503" s="44">
        <f t="shared" si="134"/>
        <v>17</v>
      </c>
      <c r="Y503" s="44">
        <f t="shared" si="134"/>
        <v>17</v>
      </c>
      <c r="Z503" s="44">
        <f t="shared" si="133"/>
        <v>17</v>
      </c>
      <c r="AA503" s="45">
        <f t="shared" si="131"/>
        <v>68</v>
      </c>
      <c r="AB503" s="41">
        <v>2024</v>
      </c>
      <c r="AC503" s="123"/>
      <c r="AD503" s="102"/>
    </row>
    <row r="504" spans="1:31" ht="31.5" x14ac:dyDescent="0.25">
      <c r="A504" s="54" t="s">
        <v>18</v>
      </c>
      <c r="B504" s="54" t="s">
        <v>18</v>
      </c>
      <c r="C504" s="54" t="s">
        <v>22</v>
      </c>
      <c r="D504" s="54" t="s">
        <v>18</v>
      </c>
      <c r="E504" s="54" t="s">
        <v>21</v>
      </c>
      <c r="F504" s="54" t="s">
        <v>18</v>
      </c>
      <c r="G504" s="54" t="s">
        <v>22</v>
      </c>
      <c r="H504" s="54" t="s">
        <v>19</v>
      </c>
      <c r="I504" s="54" t="s">
        <v>24</v>
      </c>
      <c r="J504" s="54" t="s">
        <v>18</v>
      </c>
      <c r="K504" s="54" t="s">
        <v>18</v>
      </c>
      <c r="L504" s="54" t="s">
        <v>22</v>
      </c>
      <c r="M504" s="54" t="s">
        <v>43</v>
      </c>
      <c r="N504" s="54" t="s">
        <v>43</v>
      </c>
      <c r="O504" s="54" t="s">
        <v>43</v>
      </c>
      <c r="P504" s="54" t="s">
        <v>43</v>
      </c>
      <c r="Q504" s="54" t="s">
        <v>43</v>
      </c>
      <c r="R504" s="77" t="s">
        <v>145</v>
      </c>
      <c r="S504" s="55" t="s">
        <v>0</v>
      </c>
      <c r="T504" s="1">
        <f>3617.1-376.2-40-150</f>
        <v>3050.9</v>
      </c>
      <c r="U504" s="1">
        <f>2917.1-100</f>
        <v>2817.1</v>
      </c>
      <c r="V504" s="1">
        <v>1090.5999999999999</v>
      </c>
      <c r="W504" s="1">
        <v>2417.1</v>
      </c>
      <c r="X504" s="1">
        <v>2417.1</v>
      </c>
      <c r="Y504" s="1">
        <v>2417.1</v>
      </c>
      <c r="Z504" s="1">
        <v>2417.1</v>
      </c>
      <c r="AA504" s="59">
        <f t="shared" si="131"/>
        <v>16627</v>
      </c>
      <c r="AB504" s="58">
        <v>2024</v>
      </c>
      <c r="AC504" s="119"/>
      <c r="AD504" s="102"/>
      <c r="AE504" s="102"/>
    </row>
    <row r="505" spans="1:31" ht="31.5" x14ac:dyDescent="0.2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61" t="s">
        <v>344</v>
      </c>
      <c r="S505" s="142" t="s">
        <v>31</v>
      </c>
      <c r="T505" s="3">
        <v>4849</v>
      </c>
      <c r="U505" s="3">
        <f>4307-1114</f>
        <v>3193</v>
      </c>
      <c r="V505" s="3">
        <v>1569</v>
      </c>
      <c r="W505" s="3">
        <v>4528.6000000000004</v>
      </c>
      <c r="X505" s="3">
        <v>4528.6000000000004</v>
      </c>
      <c r="Y505" s="3">
        <v>4528.6000000000004</v>
      </c>
      <c r="Z505" s="3">
        <v>4528.6000000000004</v>
      </c>
      <c r="AA505" s="5">
        <f t="shared" si="131"/>
        <v>27725.4</v>
      </c>
      <c r="AB505" s="41">
        <v>2024</v>
      </c>
      <c r="AC505" s="123"/>
      <c r="AD505" s="102"/>
    </row>
    <row r="506" spans="1:31" ht="63" x14ac:dyDescent="0.25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61" t="s">
        <v>345</v>
      </c>
      <c r="S506" s="142" t="s">
        <v>38</v>
      </c>
      <c r="T506" s="44">
        <v>0</v>
      </c>
      <c r="U506" s="44">
        <v>0</v>
      </c>
      <c r="V506" s="44">
        <v>0</v>
      </c>
      <c r="W506" s="44">
        <v>4</v>
      </c>
      <c r="X506" s="44">
        <v>4</v>
      </c>
      <c r="Y506" s="44">
        <v>4</v>
      </c>
      <c r="Z506" s="44">
        <v>4</v>
      </c>
      <c r="AA506" s="45">
        <f t="shared" si="131"/>
        <v>16</v>
      </c>
      <c r="AB506" s="41">
        <v>2024</v>
      </c>
      <c r="AC506" s="123"/>
      <c r="AD506" s="102"/>
    </row>
    <row r="507" spans="1:31" ht="31.5" x14ac:dyDescent="0.25">
      <c r="A507" s="54" t="s">
        <v>18</v>
      </c>
      <c r="B507" s="54" t="s">
        <v>18</v>
      </c>
      <c r="C507" s="54" t="s">
        <v>24</v>
      </c>
      <c r="D507" s="54" t="s">
        <v>18</v>
      </c>
      <c r="E507" s="54" t="s">
        <v>21</v>
      </c>
      <c r="F507" s="54" t="s">
        <v>18</v>
      </c>
      <c r="G507" s="54" t="s">
        <v>22</v>
      </c>
      <c r="H507" s="54" t="s">
        <v>19</v>
      </c>
      <c r="I507" s="54" t="s">
        <v>24</v>
      </c>
      <c r="J507" s="54" t="s">
        <v>18</v>
      </c>
      <c r="K507" s="54" t="s">
        <v>18</v>
      </c>
      <c r="L507" s="54" t="s">
        <v>22</v>
      </c>
      <c r="M507" s="54" t="s">
        <v>43</v>
      </c>
      <c r="N507" s="54" t="s">
        <v>43</v>
      </c>
      <c r="O507" s="54" t="s">
        <v>43</v>
      </c>
      <c r="P507" s="54" t="s">
        <v>43</v>
      </c>
      <c r="Q507" s="54" t="s">
        <v>43</v>
      </c>
      <c r="R507" s="77" t="s">
        <v>146</v>
      </c>
      <c r="S507" s="55" t="s">
        <v>0</v>
      </c>
      <c r="T507" s="1">
        <f>398.5-63.6-24.8</f>
        <v>310.09999999999997</v>
      </c>
      <c r="U507" s="1">
        <f>398.5-18.9</f>
        <v>379.6</v>
      </c>
      <c r="V507" s="1">
        <f>398.5-27.6</f>
        <v>370.9</v>
      </c>
      <c r="W507" s="1">
        <v>399.6</v>
      </c>
      <c r="X507" s="1">
        <v>399.6</v>
      </c>
      <c r="Y507" s="1">
        <v>399.6</v>
      </c>
      <c r="Z507" s="1">
        <v>399.6</v>
      </c>
      <c r="AA507" s="59">
        <f t="shared" si="131"/>
        <v>2658.9999999999995</v>
      </c>
      <c r="AB507" s="58">
        <v>2024</v>
      </c>
      <c r="AC507" s="119"/>
      <c r="AD507" s="102"/>
    </row>
    <row r="508" spans="1:31" ht="47.25" x14ac:dyDescent="0.25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61" t="s">
        <v>346</v>
      </c>
      <c r="S508" s="142" t="s">
        <v>31</v>
      </c>
      <c r="T508" s="4">
        <v>421.4</v>
      </c>
      <c r="U508" s="4">
        <v>195</v>
      </c>
      <c r="V508" s="4">
        <v>554</v>
      </c>
      <c r="W508" s="3">
        <v>587</v>
      </c>
      <c r="X508" s="3">
        <v>587</v>
      </c>
      <c r="Y508" s="3">
        <v>587</v>
      </c>
      <c r="Z508" s="3">
        <v>587</v>
      </c>
      <c r="AA508" s="6">
        <f t="shared" si="131"/>
        <v>3518.4</v>
      </c>
      <c r="AB508" s="41">
        <v>2024</v>
      </c>
      <c r="AC508" s="123"/>
      <c r="AD508" s="102"/>
    </row>
    <row r="509" spans="1:31" ht="63" x14ac:dyDescent="0.25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61" t="s">
        <v>347</v>
      </c>
      <c r="S509" s="142" t="s">
        <v>38</v>
      </c>
      <c r="T509" s="2">
        <v>0</v>
      </c>
      <c r="U509" s="2">
        <v>0</v>
      </c>
      <c r="V509" s="2">
        <v>0</v>
      </c>
      <c r="W509" s="44">
        <v>2</v>
      </c>
      <c r="X509" s="44">
        <v>2</v>
      </c>
      <c r="Y509" s="44">
        <v>2</v>
      </c>
      <c r="Z509" s="44">
        <v>2</v>
      </c>
      <c r="AA509" s="49">
        <f t="shared" ref="AA509" si="135">SUM(T509:Z509)</f>
        <v>8</v>
      </c>
      <c r="AB509" s="41">
        <v>2024</v>
      </c>
      <c r="AC509" s="123"/>
      <c r="AD509" s="102"/>
    </row>
    <row r="510" spans="1:31" ht="31.5" x14ac:dyDescent="0.25">
      <c r="A510" s="54" t="s">
        <v>18</v>
      </c>
      <c r="B510" s="54" t="s">
        <v>18</v>
      </c>
      <c r="C510" s="54" t="s">
        <v>21</v>
      </c>
      <c r="D510" s="54" t="s">
        <v>18</v>
      </c>
      <c r="E510" s="54" t="s">
        <v>21</v>
      </c>
      <c r="F510" s="54" t="s">
        <v>18</v>
      </c>
      <c r="G510" s="54" t="s">
        <v>22</v>
      </c>
      <c r="H510" s="54" t="s">
        <v>19</v>
      </c>
      <c r="I510" s="54" t="s">
        <v>24</v>
      </c>
      <c r="J510" s="54" t="s">
        <v>18</v>
      </c>
      <c r="K510" s="54" t="s">
        <v>18</v>
      </c>
      <c r="L510" s="54" t="s">
        <v>22</v>
      </c>
      <c r="M510" s="54" t="s">
        <v>43</v>
      </c>
      <c r="N510" s="54" t="s">
        <v>43</v>
      </c>
      <c r="O510" s="54" t="s">
        <v>43</v>
      </c>
      <c r="P510" s="54" t="s">
        <v>43</v>
      </c>
      <c r="Q510" s="54" t="s">
        <v>43</v>
      </c>
      <c r="R510" s="69" t="s">
        <v>147</v>
      </c>
      <c r="S510" s="55" t="s">
        <v>0</v>
      </c>
      <c r="T510" s="1">
        <f>1961.8-500-47.8</f>
        <v>1414</v>
      </c>
      <c r="U510" s="1">
        <f>1163-0.4</f>
        <v>1162.5999999999999</v>
      </c>
      <c r="V510" s="1">
        <f>1165.6-57.2</f>
        <v>1108.3999999999999</v>
      </c>
      <c r="W510" s="1">
        <v>1166.9000000000001</v>
      </c>
      <c r="X510" s="1">
        <v>1166.9000000000001</v>
      </c>
      <c r="Y510" s="1">
        <v>1166.9000000000001</v>
      </c>
      <c r="Z510" s="1">
        <v>1166.9000000000001</v>
      </c>
      <c r="AA510" s="59">
        <f t="shared" si="131"/>
        <v>8352.5999999999985</v>
      </c>
      <c r="AB510" s="58">
        <v>2024</v>
      </c>
      <c r="AC510" s="119"/>
      <c r="AD510" s="102"/>
    </row>
    <row r="511" spans="1:31" ht="31.5" x14ac:dyDescent="0.25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61" t="s">
        <v>355</v>
      </c>
      <c r="S511" s="142" t="s">
        <v>31</v>
      </c>
      <c r="T511" s="4">
        <v>3300</v>
      </c>
      <c r="U511" s="4">
        <v>1194.5</v>
      </c>
      <c r="V511" s="4">
        <v>1600</v>
      </c>
      <c r="W511" s="3">
        <v>2235</v>
      </c>
      <c r="X511" s="3">
        <v>2235</v>
      </c>
      <c r="Y511" s="3">
        <v>2235</v>
      </c>
      <c r="Z511" s="3">
        <v>2235</v>
      </c>
      <c r="AA511" s="5">
        <f t="shared" si="131"/>
        <v>15034.5</v>
      </c>
      <c r="AB511" s="41">
        <v>2024</v>
      </c>
      <c r="AC511" s="123"/>
      <c r="AD511" s="102"/>
    </row>
    <row r="512" spans="1:31" ht="63" x14ac:dyDescent="0.25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61" t="s">
        <v>356</v>
      </c>
      <c r="S512" s="142" t="s">
        <v>38</v>
      </c>
      <c r="T512" s="2">
        <v>0</v>
      </c>
      <c r="U512" s="2">
        <v>0</v>
      </c>
      <c r="V512" s="2">
        <v>0</v>
      </c>
      <c r="W512" s="44">
        <v>3</v>
      </c>
      <c r="X512" s="44">
        <v>3</v>
      </c>
      <c r="Y512" s="44">
        <v>3</v>
      </c>
      <c r="Z512" s="44">
        <v>3</v>
      </c>
      <c r="AA512" s="45">
        <f t="shared" ref="AA512" si="136">SUM(T512:Z512)</f>
        <v>12</v>
      </c>
      <c r="AB512" s="41">
        <v>2024</v>
      </c>
      <c r="AC512" s="145"/>
      <c r="AD512" s="102"/>
    </row>
    <row r="513" spans="1:34" ht="31.5" x14ac:dyDescent="0.25">
      <c r="A513" s="54" t="s">
        <v>18</v>
      </c>
      <c r="B513" s="54" t="s">
        <v>18</v>
      </c>
      <c r="C513" s="54" t="s">
        <v>25</v>
      </c>
      <c r="D513" s="54" t="s">
        <v>18</v>
      </c>
      <c r="E513" s="54" t="s">
        <v>21</v>
      </c>
      <c r="F513" s="54" t="s">
        <v>18</v>
      </c>
      <c r="G513" s="54" t="s">
        <v>22</v>
      </c>
      <c r="H513" s="54" t="s">
        <v>19</v>
      </c>
      <c r="I513" s="54" t="s">
        <v>24</v>
      </c>
      <c r="J513" s="54" t="s">
        <v>18</v>
      </c>
      <c r="K513" s="54" t="s">
        <v>18</v>
      </c>
      <c r="L513" s="54" t="s">
        <v>22</v>
      </c>
      <c r="M513" s="54" t="s">
        <v>43</v>
      </c>
      <c r="N513" s="54" t="s">
        <v>43</v>
      </c>
      <c r="O513" s="54" t="s">
        <v>43</v>
      </c>
      <c r="P513" s="54" t="s">
        <v>43</v>
      </c>
      <c r="Q513" s="54" t="s">
        <v>43</v>
      </c>
      <c r="R513" s="69" t="s">
        <v>148</v>
      </c>
      <c r="S513" s="55" t="s">
        <v>0</v>
      </c>
      <c r="T513" s="1">
        <f>1502-455.3-60.8</f>
        <v>985.90000000000009</v>
      </c>
      <c r="U513" s="1">
        <f>1000-21.6</f>
        <v>978.4</v>
      </c>
      <c r="V513" s="1">
        <f>700-98.9</f>
        <v>601.1</v>
      </c>
      <c r="W513" s="1">
        <v>500.4</v>
      </c>
      <c r="X513" s="1">
        <v>500.4</v>
      </c>
      <c r="Y513" s="1">
        <v>500.4</v>
      </c>
      <c r="Z513" s="1">
        <v>500.4</v>
      </c>
      <c r="AA513" s="59">
        <f t="shared" si="131"/>
        <v>4567</v>
      </c>
      <c r="AB513" s="58">
        <v>2024</v>
      </c>
      <c r="AC513" s="120"/>
      <c r="AD513" s="12"/>
    </row>
    <row r="514" spans="1:34" ht="47.25" x14ac:dyDescent="0.25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40" t="s">
        <v>357</v>
      </c>
      <c r="S514" s="142" t="s">
        <v>31</v>
      </c>
      <c r="T514" s="3">
        <v>1903</v>
      </c>
      <c r="U514" s="3">
        <v>100</v>
      </c>
      <c r="V514" s="3">
        <v>433.2</v>
      </c>
      <c r="W514" s="3">
        <v>567.70000000000005</v>
      </c>
      <c r="X514" s="3">
        <v>567.70000000000005</v>
      </c>
      <c r="Y514" s="3">
        <v>567.70000000000005</v>
      </c>
      <c r="Z514" s="3">
        <v>567.70000000000005</v>
      </c>
      <c r="AA514" s="5">
        <f t="shared" si="131"/>
        <v>4706.9999999999991</v>
      </c>
      <c r="AB514" s="41">
        <v>2024</v>
      </c>
      <c r="AC514" s="123"/>
      <c r="AD514" s="102"/>
    </row>
    <row r="515" spans="1:34" ht="63" x14ac:dyDescent="0.25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61" t="s">
        <v>358</v>
      </c>
      <c r="S515" s="142" t="s">
        <v>38</v>
      </c>
      <c r="T515" s="44">
        <v>0</v>
      </c>
      <c r="U515" s="44">
        <v>0</v>
      </c>
      <c r="V515" s="44">
        <v>0</v>
      </c>
      <c r="W515" s="44">
        <v>8</v>
      </c>
      <c r="X515" s="44">
        <v>8</v>
      </c>
      <c r="Y515" s="44">
        <v>8</v>
      </c>
      <c r="Z515" s="44">
        <v>8</v>
      </c>
      <c r="AA515" s="45">
        <f t="shared" ref="AA515" si="137">SUM(T515:Z515)</f>
        <v>32</v>
      </c>
      <c r="AB515" s="41">
        <v>2024</v>
      </c>
      <c r="AC515" s="145"/>
      <c r="AD515" s="102"/>
    </row>
    <row r="516" spans="1:34" ht="48.6" customHeight="1" x14ac:dyDescent="0.25">
      <c r="A516" s="54" t="s">
        <v>18</v>
      </c>
      <c r="B516" s="54" t="s">
        <v>24</v>
      </c>
      <c r="C516" s="54" t="s">
        <v>22</v>
      </c>
      <c r="D516" s="54" t="s">
        <v>18</v>
      </c>
      <c r="E516" s="54" t="s">
        <v>21</v>
      </c>
      <c r="F516" s="54" t="s">
        <v>18</v>
      </c>
      <c r="G516" s="54" t="s">
        <v>22</v>
      </c>
      <c r="H516" s="54" t="s">
        <v>19</v>
      </c>
      <c r="I516" s="54" t="s">
        <v>24</v>
      </c>
      <c r="J516" s="54" t="s">
        <v>18</v>
      </c>
      <c r="K516" s="54" t="s">
        <v>18</v>
      </c>
      <c r="L516" s="54" t="s">
        <v>22</v>
      </c>
      <c r="M516" s="54" t="s">
        <v>43</v>
      </c>
      <c r="N516" s="54" t="s">
        <v>43</v>
      </c>
      <c r="O516" s="54" t="s">
        <v>43</v>
      </c>
      <c r="P516" s="54" t="s">
        <v>43</v>
      </c>
      <c r="Q516" s="54" t="s">
        <v>43</v>
      </c>
      <c r="R516" s="146" t="s">
        <v>361</v>
      </c>
      <c r="S516" s="55" t="s">
        <v>0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0</v>
      </c>
      <c r="Z516" s="1">
        <v>1782</v>
      </c>
      <c r="AA516" s="59">
        <f t="shared" si="131"/>
        <v>1782</v>
      </c>
      <c r="AB516" s="58">
        <v>2024</v>
      </c>
      <c r="AC516" s="33"/>
    </row>
    <row r="517" spans="1:34" s="72" customFormat="1" ht="31.15" customHeight="1" x14ac:dyDescent="0.25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48" t="s">
        <v>362</v>
      </c>
      <c r="S517" s="41" t="s">
        <v>31</v>
      </c>
      <c r="T517" s="3">
        <v>0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">
        <v>5619</v>
      </c>
      <c r="AA517" s="6">
        <f t="shared" si="131"/>
        <v>5619</v>
      </c>
      <c r="AB517" s="41">
        <v>2024</v>
      </c>
      <c r="AC517" s="91"/>
      <c r="AD517" s="147"/>
      <c r="AE517" s="113"/>
      <c r="AF517" s="113"/>
      <c r="AG517" s="113"/>
      <c r="AH517" s="51"/>
    </row>
    <row r="518" spans="1:34" ht="0.75" hidden="1" customHeight="1" x14ac:dyDescent="0.25">
      <c r="A518" s="54"/>
      <c r="B518" s="54"/>
      <c r="C518" s="54"/>
      <c r="D518" s="54" t="s">
        <v>18</v>
      </c>
      <c r="E518" s="54" t="s">
        <v>21</v>
      </c>
      <c r="F518" s="54" t="s">
        <v>18</v>
      </c>
      <c r="G518" s="54" t="s">
        <v>22</v>
      </c>
      <c r="H518" s="54" t="s">
        <v>18</v>
      </c>
      <c r="I518" s="54" t="s">
        <v>23</v>
      </c>
      <c r="J518" s="54" t="s">
        <v>18</v>
      </c>
      <c r="K518" s="54" t="s">
        <v>18</v>
      </c>
      <c r="L518" s="54" t="s">
        <v>20</v>
      </c>
      <c r="M518" s="54" t="s">
        <v>19</v>
      </c>
      <c r="N518" s="54" t="s">
        <v>18</v>
      </c>
      <c r="O518" s="54" t="s">
        <v>21</v>
      </c>
      <c r="P518" s="54" t="s">
        <v>21</v>
      </c>
      <c r="Q518" s="54" t="s">
        <v>18</v>
      </c>
      <c r="R518" s="150" t="s">
        <v>149</v>
      </c>
      <c r="S518" s="55" t="s">
        <v>0</v>
      </c>
      <c r="T518" s="1">
        <f t="shared" ref="T518:Y519" si="138">T521+T524+T527+T530</f>
        <v>1308.2000000000003</v>
      </c>
      <c r="U518" s="1">
        <f t="shared" si="138"/>
        <v>1308.2000000000003</v>
      </c>
      <c r="V518" s="1">
        <f t="shared" si="138"/>
        <v>1308.2000000000003</v>
      </c>
      <c r="W518" s="1">
        <f t="shared" si="138"/>
        <v>1308.2000000000003</v>
      </c>
      <c r="X518" s="1">
        <f t="shared" si="138"/>
        <v>1308.2000000000003</v>
      </c>
      <c r="Y518" s="1">
        <f t="shared" si="138"/>
        <v>1308.2000000000003</v>
      </c>
      <c r="Z518" s="1"/>
      <c r="AA518" s="59">
        <f>T518+U518+V518+W518+X518+Y518</f>
        <v>7849.2000000000025</v>
      </c>
      <c r="AB518" s="73">
        <v>2016</v>
      </c>
      <c r="AC518" s="33"/>
      <c r="AD518" s="12"/>
      <c r="AE518" s="12"/>
    </row>
    <row r="519" spans="1:34" ht="31.15" customHeight="1" x14ac:dyDescent="0.25">
      <c r="A519" s="54"/>
      <c r="B519" s="54"/>
      <c r="C519" s="54"/>
      <c r="D519" s="54" t="s">
        <v>18</v>
      </c>
      <c r="E519" s="54" t="s">
        <v>24</v>
      </c>
      <c r="F519" s="54" t="s">
        <v>18</v>
      </c>
      <c r="G519" s="54" t="s">
        <v>21</v>
      </c>
      <c r="H519" s="54" t="s">
        <v>19</v>
      </c>
      <c r="I519" s="54" t="s">
        <v>24</v>
      </c>
      <c r="J519" s="54" t="s">
        <v>18</v>
      </c>
      <c r="K519" s="54" t="s">
        <v>18</v>
      </c>
      <c r="L519" s="54" t="s">
        <v>22</v>
      </c>
      <c r="M519" s="54" t="s">
        <v>19</v>
      </c>
      <c r="N519" s="54" t="s">
        <v>18</v>
      </c>
      <c r="O519" s="54" t="s">
        <v>21</v>
      </c>
      <c r="P519" s="54" t="s">
        <v>21</v>
      </c>
      <c r="Q519" s="54" t="s">
        <v>18</v>
      </c>
      <c r="R519" s="150"/>
      <c r="S519" s="58" t="s">
        <v>0</v>
      </c>
      <c r="T519" s="59">
        <f t="shared" si="138"/>
        <v>1399.4</v>
      </c>
      <c r="U519" s="59">
        <f>U522+U525+U528+U531+U535</f>
        <v>802.7</v>
      </c>
      <c r="V519" s="59">
        <f t="shared" si="138"/>
        <v>0</v>
      </c>
      <c r="W519" s="59">
        <f t="shared" si="138"/>
        <v>0</v>
      </c>
      <c r="X519" s="59">
        <f t="shared" si="138"/>
        <v>0</v>
      </c>
      <c r="Y519" s="59">
        <f t="shared" si="138"/>
        <v>0</v>
      </c>
      <c r="Z519" s="59">
        <f t="shared" ref="Z519" si="139">Z522+Z525+Z528+Z531</f>
        <v>1401.1000000000001</v>
      </c>
      <c r="AA519" s="59">
        <f>SUM(T519:Z519)</f>
        <v>3603.2000000000007</v>
      </c>
      <c r="AB519" s="58">
        <v>2024</v>
      </c>
      <c r="AC519" s="120"/>
      <c r="AD519" s="12"/>
      <c r="AE519" s="12"/>
    </row>
    <row r="520" spans="1:34" ht="31.5" x14ac:dyDescent="0.2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40" t="s">
        <v>150</v>
      </c>
      <c r="S520" s="142" t="s">
        <v>50</v>
      </c>
      <c r="T520" s="44">
        <f t="shared" ref="T520:Y520" si="140">T523+T526+T529+T534</f>
        <v>450</v>
      </c>
      <c r="U520" s="44">
        <f>U523+U526+U529+U534+U539</f>
        <v>450</v>
      </c>
      <c r="V520" s="44">
        <f t="shared" si="140"/>
        <v>0</v>
      </c>
      <c r="W520" s="44">
        <f t="shared" si="140"/>
        <v>0</v>
      </c>
      <c r="X520" s="44">
        <f t="shared" si="140"/>
        <v>0</v>
      </c>
      <c r="Y520" s="44">
        <f t="shared" si="140"/>
        <v>0</v>
      </c>
      <c r="Z520" s="44">
        <f t="shared" ref="Z520" si="141">Z523+Z526+Z529+Z534</f>
        <v>433</v>
      </c>
      <c r="AA520" s="49">
        <f>SUM(T520:Z520)</f>
        <v>1333</v>
      </c>
      <c r="AB520" s="41">
        <v>2024</v>
      </c>
      <c r="AC520" s="33"/>
      <c r="AD520" s="12"/>
      <c r="AE520" s="12"/>
    </row>
    <row r="521" spans="1:34" ht="36.75" hidden="1" customHeight="1" x14ac:dyDescent="0.25">
      <c r="A521" s="54" t="s">
        <v>18</v>
      </c>
      <c r="B521" s="54" t="s">
        <v>18</v>
      </c>
      <c r="C521" s="54" t="s">
        <v>22</v>
      </c>
      <c r="D521" s="54" t="s">
        <v>18</v>
      </c>
      <c r="E521" s="54" t="s">
        <v>21</v>
      </c>
      <c r="F521" s="54" t="s">
        <v>18</v>
      </c>
      <c r="G521" s="54" t="s">
        <v>22</v>
      </c>
      <c r="H521" s="54" t="s">
        <v>18</v>
      </c>
      <c r="I521" s="54" t="s">
        <v>23</v>
      </c>
      <c r="J521" s="54" t="s">
        <v>18</v>
      </c>
      <c r="K521" s="54" t="s">
        <v>18</v>
      </c>
      <c r="L521" s="54" t="s">
        <v>20</v>
      </c>
      <c r="M521" s="54" t="s">
        <v>19</v>
      </c>
      <c r="N521" s="54" t="s">
        <v>18</v>
      </c>
      <c r="O521" s="54" t="s">
        <v>21</v>
      </c>
      <c r="P521" s="54" t="s">
        <v>21</v>
      </c>
      <c r="Q521" s="54" t="s">
        <v>18</v>
      </c>
      <c r="R521" s="151" t="s">
        <v>151</v>
      </c>
      <c r="S521" s="55" t="s">
        <v>0</v>
      </c>
      <c r="T521" s="1">
        <f t="shared" ref="T521:Z521" si="142">472.4-26.9</f>
        <v>445.5</v>
      </c>
      <c r="U521" s="1">
        <f t="shared" si="142"/>
        <v>445.5</v>
      </c>
      <c r="V521" s="1">
        <f t="shared" si="142"/>
        <v>445.5</v>
      </c>
      <c r="W521" s="1">
        <f t="shared" si="142"/>
        <v>445.5</v>
      </c>
      <c r="X521" s="1">
        <f t="shared" si="142"/>
        <v>445.5</v>
      </c>
      <c r="Y521" s="1">
        <f t="shared" si="142"/>
        <v>445.5</v>
      </c>
      <c r="Z521" s="1">
        <f t="shared" si="142"/>
        <v>445.5</v>
      </c>
      <c r="AA521" s="59">
        <f t="shared" ref="AA521:AA530" si="143">T521+U521+V521+W521+X521+Y521</f>
        <v>2673</v>
      </c>
      <c r="AB521" s="41">
        <v>2023</v>
      </c>
      <c r="AC521" s="33"/>
      <c r="AD521" s="12"/>
      <c r="AE521" s="12"/>
    </row>
    <row r="522" spans="1:34" ht="31.15" customHeight="1" x14ac:dyDescent="0.25">
      <c r="A522" s="54" t="s">
        <v>18</v>
      </c>
      <c r="B522" s="54" t="s">
        <v>18</v>
      </c>
      <c r="C522" s="54" t="s">
        <v>22</v>
      </c>
      <c r="D522" s="54" t="s">
        <v>18</v>
      </c>
      <c r="E522" s="54" t="s">
        <v>24</v>
      </c>
      <c r="F522" s="54" t="s">
        <v>18</v>
      </c>
      <c r="G522" s="54" t="s">
        <v>21</v>
      </c>
      <c r="H522" s="54" t="s">
        <v>19</v>
      </c>
      <c r="I522" s="54" t="s">
        <v>24</v>
      </c>
      <c r="J522" s="54" t="s">
        <v>18</v>
      </c>
      <c r="K522" s="54" t="s">
        <v>18</v>
      </c>
      <c r="L522" s="54" t="s">
        <v>22</v>
      </c>
      <c r="M522" s="54" t="s">
        <v>19</v>
      </c>
      <c r="N522" s="54" t="s">
        <v>18</v>
      </c>
      <c r="O522" s="54" t="s">
        <v>21</v>
      </c>
      <c r="P522" s="54" t="s">
        <v>21</v>
      </c>
      <c r="Q522" s="54" t="s">
        <v>18</v>
      </c>
      <c r="R522" s="151"/>
      <c r="S522" s="55" t="s">
        <v>0</v>
      </c>
      <c r="T522" s="1">
        <f t="shared" ref="T522:Z522" si="144">445.5+45.8</f>
        <v>491.3</v>
      </c>
      <c r="U522" s="1">
        <f>445.5+45.8+47.5-415.7</f>
        <v>123.09999999999997</v>
      </c>
      <c r="V522" s="1">
        <f>445.5+45.8+53.6-544.9</f>
        <v>0</v>
      </c>
      <c r="W522" s="1">
        <f t="shared" ref="W522:X522" si="145">445.5+45.8+53.6-544.9</f>
        <v>0</v>
      </c>
      <c r="X522" s="1">
        <f t="shared" si="145"/>
        <v>0</v>
      </c>
      <c r="Y522" s="1">
        <v>0</v>
      </c>
      <c r="Z522" s="1">
        <f t="shared" si="144"/>
        <v>491.3</v>
      </c>
      <c r="AA522" s="59">
        <f>SUM(T522:Z522)</f>
        <v>1105.7</v>
      </c>
      <c r="AB522" s="58">
        <v>2024</v>
      </c>
      <c r="AC522" s="120"/>
    </row>
    <row r="523" spans="1:34" ht="31.15" customHeight="1" x14ac:dyDescent="0.25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61" t="s">
        <v>152</v>
      </c>
      <c r="S523" s="142" t="s">
        <v>50</v>
      </c>
      <c r="T523" s="2">
        <v>158</v>
      </c>
      <c r="U523" s="44">
        <v>37</v>
      </c>
      <c r="V523" s="2">
        <f>154-154</f>
        <v>0</v>
      </c>
      <c r="W523" s="2">
        <v>0</v>
      </c>
      <c r="X523" s="2">
        <v>0</v>
      </c>
      <c r="Y523" s="2">
        <v>0</v>
      </c>
      <c r="Z523" s="2">
        <v>148</v>
      </c>
      <c r="AA523" s="49">
        <f>SUM(T523:Z523)</f>
        <v>343</v>
      </c>
      <c r="AB523" s="41">
        <v>2024</v>
      </c>
      <c r="AC523" s="33"/>
    </row>
    <row r="524" spans="1:34" ht="36" hidden="1" customHeight="1" x14ac:dyDescent="0.25">
      <c r="A524" s="54" t="s">
        <v>18</v>
      </c>
      <c r="B524" s="54" t="s">
        <v>18</v>
      </c>
      <c r="C524" s="54" t="s">
        <v>24</v>
      </c>
      <c r="D524" s="54" t="s">
        <v>18</v>
      </c>
      <c r="E524" s="54" t="s">
        <v>21</v>
      </c>
      <c r="F524" s="54" t="s">
        <v>18</v>
      </c>
      <c r="G524" s="54" t="s">
        <v>22</v>
      </c>
      <c r="H524" s="54" t="s">
        <v>18</v>
      </c>
      <c r="I524" s="54" t="s">
        <v>23</v>
      </c>
      <c r="J524" s="54" t="s">
        <v>18</v>
      </c>
      <c r="K524" s="54" t="s">
        <v>18</v>
      </c>
      <c r="L524" s="54" t="s">
        <v>20</v>
      </c>
      <c r="M524" s="54" t="s">
        <v>19</v>
      </c>
      <c r="N524" s="54" t="s">
        <v>18</v>
      </c>
      <c r="O524" s="54" t="s">
        <v>21</v>
      </c>
      <c r="P524" s="54" t="s">
        <v>21</v>
      </c>
      <c r="Q524" s="54" t="s">
        <v>18</v>
      </c>
      <c r="R524" s="153" t="s">
        <v>151</v>
      </c>
      <c r="S524" s="55" t="s">
        <v>0</v>
      </c>
      <c r="T524" s="1">
        <f t="shared" ref="T524:Z524" si="146">302-17.3</f>
        <v>284.7</v>
      </c>
      <c r="U524" s="1">
        <f t="shared" si="146"/>
        <v>284.7</v>
      </c>
      <c r="V524" s="1">
        <f t="shared" si="146"/>
        <v>284.7</v>
      </c>
      <c r="W524" s="1">
        <f t="shared" si="146"/>
        <v>284.7</v>
      </c>
      <c r="X524" s="1">
        <f t="shared" si="146"/>
        <v>284.7</v>
      </c>
      <c r="Y524" s="1">
        <f t="shared" si="146"/>
        <v>284.7</v>
      </c>
      <c r="Z524" s="1">
        <f t="shared" si="146"/>
        <v>284.7</v>
      </c>
      <c r="AA524" s="59">
        <f t="shared" si="143"/>
        <v>1708.2</v>
      </c>
      <c r="AB524" s="41">
        <v>2023</v>
      </c>
      <c r="AC524" s="33"/>
    </row>
    <row r="525" spans="1:34" ht="31.15" customHeight="1" x14ac:dyDescent="0.25">
      <c r="A525" s="54" t="s">
        <v>18</v>
      </c>
      <c r="B525" s="54" t="s">
        <v>18</v>
      </c>
      <c r="C525" s="54" t="s">
        <v>24</v>
      </c>
      <c r="D525" s="54" t="s">
        <v>18</v>
      </c>
      <c r="E525" s="54" t="s">
        <v>24</v>
      </c>
      <c r="F525" s="54" t="s">
        <v>18</v>
      </c>
      <c r="G525" s="54" t="s">
        <v>21</v>
      </c>
      <c r="H525" s="54" t="s">
        <v>19</v>
      </c>
      <c r="I525" s="54" t="s">
        <v>24</v>
      </c>
      <c r="J525" s="54" t="s">
        <v>18</v>
      </c>
      <c r="K525" s="54" t="s">
        <v>18</v>
      </c>
      <c r="L525" s="54" t="s">
        <v>22</v>
      </c>
      <c r="M525" s="54" t="s">
        <v>19</v>
      </c>
      <c r="N525" s="54" t="s">
        <v>18</v>
      </c>
      <c r="O525" s="54" t="s">
        <v>21</v>
      </c>
      <c r="P525" s="54" t="s">
        <v>21</v>
      </c>
      <c r="Q525" s="54" t="s">
        <v>18</v>
      </c>
      <c r="R525" s="153"/>
      <c r="S525" s="55" t="s">
        <v>0</v>
      </c>
      <c r="T525" s="1">
        <f t="shared" ref="T525:Z525" si="147">284.7-29.7</f>
        <v>255</v>
      </c>
      <c r="U525" s="1">
        <f>284.7-29.7+24.6-218.9</f>
        <v>60.700000000000017</v>
      </c>
      <c r="V525" s="1">
        <f>284.7-29.7+27.8-282.8</f>
        <v>0</v>
      </c>
      <c r="W525" s="1">
        <v>0</v>
      </c>
      <c r="X525" s="1">
        <v>0</v>
      </c>
      <c r="Y525" s="1">
        <v>0</v>
      </c>
      <c r="Z525" s="1">
        <f t="shared" si="147"/>
        <v>255</v>
      </c>
      <c r="AA525" s="59">
        <f>SUM(T525:Z525)</f>
        <v>570.70000000000005</v>
      </c>
      <c r="AB525" s="58">
        <v>2024</v>
      </c>
      <c r="AC525" s="120"/>
    </row>
    <row r="526" spans="1:34" ht="34.15" customHeight="1" x14ac:dyDescent="0.25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61" t="s">
        <v>153</v>
      </c>
      <c r="S526" s="142" t="s">
        <v>50</v>
      </c>
      <c r="T526" s="2">
        <v>82</v>
      </c>
      <c r="U526" s="44">
        <v>20</v>
      </c>
      <c r="V526" s="2">
        <f>82-82</f>
        <v>0</v>
      </c>
      <c r="W526" s="2">
        <v>0</v>
      </c>
      <c r="X526" s="2">
        <v>0</v>
      </c>
      <c r="Y526" s="2">
        <v>0</v>
      </c>
      <c r="Z526" s="2">
        <v>82</v>
      </c>
      <c r="AA526" s="49">
        <f>SUM(T526:Z526)</f>
        <v>184</v>
      </c>
      <c r="AB526" s="41">
        <v>2024</v>
      </c>
      <c r="AC526" s="33"/>
    </row>
    <row r="527" spans="1:34" ht="5.25" hidden="1" customHeight="1" x14ac:dyDescent="0.25">
      <c r="A527" s="54" t="s">
        <v>18</v>
      </c>
      <c r="B527" s="54" t="s">
        <v>18</v>
      </c>
      <c r="C527" s="54" t="s">
        <v>21</v>
      </c>
      <c r="D527" s="54" t="s">
        <v>18</v>
      </c>
      <c r="E527" s="54" t="s">
        <v>21</v>
      </c>
      <c r="F527" s="54" t="s">
        <v>18</v>
      </c>
      <c r="G527" s="54" t="s">
        <v>22</v>
      </c>
      <c r="H527" s="54" t="s">
        <v>18</v>
      </c>
      <c r="I527" s="54" t="s">
        <v>23</v>
      </c>
      <c r="J527" s="54" t="s">
        <v>18</v>
      </c>
      <c r="K527" s="54" t="s">
        <v>18</v>
      </c>
      <c r="L527" s="54" t="s">
        <v>20</v>
      </c>
      <c r="M527" s="54" t="s">
        <v>19</v>
      </c>
      <c r="N527" s="54" t="s">
        <v>18</v>
      </c>
      <c r="O527" s="54" t="s">
        <v>21</v>
      </c>
      <c r="P527" s="54" t="s">
        <v>21</v>
      </c>
      <c r="Q527" s="54" t="s">
        <v>18</v>
      </c>
      <c r="R527" s="153" t="s">
        <v>151</v>
      </c>
      <c r="S527" s="55" t="s">
        <v>0</v>
      </c>
      <c r="T527" s="1">
        <f t="shared" ref="T527:Z527" si="148">398.8-22.7</f>
        <v>376.1</v>
      </c>
      <c r="U527" s="1">
        <f t="shared" si="148"/>
        <v>376.1</v>
      </c>
      <c r="V527" s="1">
        <f t="shared" si="148"/>
        <v>376.1</v>
      </c>
      <c r="W527" s="1">
        <f t="shared" si="148"/>
        <v>376.1</v>
      </c>
      <c r="X527" s="1">
        <f t="shared" si="148"/>
        <v>376.1</v>
      </c>
      <c r="Y527" s="1">
        <f t="shared" si="148"/>
        <v>376.1</v>
      </c>
      <c r="Z527" s="1">
        <f t="shared" si="148"/>
        <v>376.1</v>
      </c>
      <c r="AA527" s="59">
        <f t="shared" si="143"/>
        <v>2256.6</v>
      </c>
      <c r="AB527" s="41">
        <v>2023</v>
      </c>
      <c r="AC527" s="33"/>
    </row>
    <row r="528" spans="1:34" ht="31.15" customHeight="1" x14ac:dyDescent="0.25">
      <c r="A528" s="54" t="s">
        <v>18</v>
      </c>
      <c r="B528" s="54" t="s">
        <v>18</v>
      </c>
      <c r="C528" s="54" t="s">
        <v>21</v>
      </c>
      <c r="D528" s="54" t="s">
        <v>18</v>
      </c>
      <c r="E528" s="54" t="s">
        <v>24</v>
      </c>
      <c r="F528" s="54" t="s">
        <v>18</v>
      </c>
      <c r="G528" s="54" t="s">
        <v>21</v>
      </c>
      <c r="H528" s="54" t="s">
        <v>19</v>
      </c>
      <c r="I528" s="54" t="s">
        <v>24</v>
      </c>
      <c r="J528" s="54" t="s">
        <v>18</v>
      </c>
      <c r="K528" s="54" t="s">
        <v>18</v>
      </c>
      <c r="L528" s="54" t="s">
        <v>22</v>
      </c>
      <c r="M528" s="54" t="s">
        <v>19</v>
      </c>
      <c r="N528" s="54" t="s">
        <v>18</v>
      </c>
      <c r="O528" s="54" t="s">
        <v>21</v>
      </c>
      <c r="P528" s="54" t="s">
        <v>21</v>
      </c>
      <c r="Q528" s="54" t="s">
        <v>18</v>
      </c>
      <c r="R528" s="153"/>
      <c r="S528" s="55" t="s">
        <v>0</v>
      </c>
      <c r="T528" s="1">
        <f t="shared" ref="T528:Z528" si="149">376.1+59.3</f>
        <v>435.40000000000003</v>
      </c>
      <c r="U528" s="1">
        <f>376.1+59.3+42-370.4</f>
        <v>107.00000000000006</v>
      </c>
      <c r="V528" s="1">
        <f>376.1+59.3+47.5-482.9</f>
        <v>0</v>
      </c>
      <c r="W528" s="1">
        <v>0</v>
      </c>
      <c r="X528" s="1">
        <v>0</v>
      </c>
      <c r="Y528" s="1">
        <v>0</v>
      </c>
      <c r="Z528" s="1">
        <f t="shared" si="149"/>
        <v>435.40000000000003</v>
      </c>
      <c r="AA528" s="59">
        <f>SUM(T528:Z528)</f>
        <v>977.80000000000018</v>
      </c>
      <c r="AB528" s="58">
        <v>2024</v>
      </c>
      <c r="AC528" s="33"/>
    </row>
    <row r="529" spans="1:29" ht="33" customHeight="1" x14ac:dyDescent="0.25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61" t="s">
        <v>154</v>
      </c>
      <c r="S529" s="142" t="s">
        <v>50</v>
      </c>
      <c r="T529" s="2">
        <v>140</v>
      </c>
      <c r="U529" s="44">
        <v>31</v>
      </c>
      <c r="V529" s="2">
        <f>141-141</f>
        <v>0</v>
      </c>
      <c r="W529" s="2">
        <v>0</v>
      </c>
      <c r="X529" s="2">
        <v>0</v>
      </c>
      <c r="Y529" s="2">
        <v>0</v>
      </c>
      <c r="Z529" s="2">
        <v>135</v>
      </c>
      <c r="AA529" s="49">
        <f>SUM(T529:Z529)</f>
        <v>306</v>
      </c>
      <c r="AB529" s="41">
        <v>2024</v>
      </c>
      <c r="AC529" s="33"/>
    </row>
    <row r="530" spans="1:29" ht="35.25" hidden="1" customHeight="1" x14ac:dyDescent="0.25">
      <c r="A530" s="54" t="s">
        <v>18</v>
      </c>
      <c r="B530" s="54" t="s">
        <v>18</v>
      </c>
      <c r="C530" s="54" t="s">
        <v>25</v>
      </c>
      <c r="D530" s="54" t="s">
        <v>18</v>
      </c>
      <c r="E530" s="54" t="s">
        <v>21</v>
      </c>
      <c r="F530" s="54" t="s">
        <v>18</v>
      </c>
      <c r="G530" s="54" t="s">
        <v>22</v>
      </c>
      <c r="H530" s="54" t="s">
        <v>18</v>
      </c>
      <c r="I530" s="54" t="s">
        <v>23</v>
      </c>
      <c r="J530" s="54" t="s">
        <v>18</v>
      </c>
      <c r="K530" s="54" t="s">
        <v>18</v>
      </c>
      <c r="L530" s="54" t="s">
        <v>20</v>
      </c>
      <c r="M530" s="54" t="s">
        <v>19</v>
      </c>
      <c r="N530" s="54" t="s">
        <v>18</v>
      </c>
      <c r="O530" s="54" t="s">
        <v>21</v>
      </c>
      <c r="P530" s="54" t="s">
        <v>21</v>
      </c>
      <c r="Q530" s="54" t="s">
        <v>18</v>
      </c>
      <c r="R530" s="153" t="s">
        <v>151</v>
      </c>
      <c r="S530" s="55" t="s">
        <v>0</v>
      </c>
      <c r="T530" s="1">
        <f t="shared" ref="T530:Z530" si="150">214.1-12.2</f>
        <v>201.9</v>
      </c>
      <c r="U530" s="1">
        <f t="shared" si="150"/>
        <v>201.9</v>
      </c>
      <c r="V530" s="1">
        <f t="shared" si="150"/>
        <v>201.9</v>
      </c>
      <c r="W530" s="1">
        <f t="shared" si="150"/>
        <v>201.9</v>
      </c>
      <c r="X530" s="1">
        <f t="shared" si="150"/>
        <v>201.9</v>
      </c>
      <c r="Y530" s="1">
        <f t="shared" si="150"/>
        <v>201.9</v>
      </c>
      <c r="Z530" s="1">
        <f t="shared" si="150"/>
        <v>201.9</v>
      </c>
      <c r="AA530" s="59">
        <f t="shared" si="143"/>
        <v>1211.4000000000001</v>
      </c>
      <c r="AB530" s="41">
        <v>2023</v>
      </c>
    </row>
    <row r="531" spans="1:29" ht="31.15" customHeight="1" x14ac:dyDescent="0.25">
      <c r="A531" s="54" t="s">
        <v>18</v>
      </c>
      <c r="B531" s="54" t="s">
        <v>18</v>
      </c>
      <c r="C531" s="54" t="s">
        <v>25</v>
      </c>
      <c r="D531" s="54" t="s">
        <v>18</v>
      </c>
      <c r="E531" s="54" t="s">
        <v>24</v>
      </c>
      <c r="F531" s="54" t="s">
        <v>18</v>
      </c>
      <c r="G531" s="54" t="s">
        <v>21</v>
      </c>
      <c r="H531" s="54" t="s">
        <v>19</v>
      </c>
      <c r="I531" s="54" t="s">
        <v>24</v>
      </c>
      <c r="J531" s="54" t="s">
        <v>18</v>
      </c>
      <c r="K531" s="54" t="s">
        <v>18</v>
      </c>
      <c r="L531" s="54" t="s">
        <v>22</v>
      </c>
      <c r="M531" s="54" t="s">
        <v>19</v>
      </c>
      <c r="N531" s="54" t="s">
        <v>18</v>
      </c>
      <c r="O531" s="54" t="s">
        <v>21</v>
      </c>
      <c r="P531" s="54" t="s">
        <v>21</v>
      </c>
      <c r="Q531" s="54" t="s">
        <v>18</v>
      </c>
      <c r="R531" s="153"/>
      <c r="S531" s="55" t="s">
        <v>0</v>
      </c>
      <c r="T531" s="1">
        <f>201.9+15.8</f>
        <v>217.70000000000002</v>
      </c>
      <c r="U531" s="1">
        <f>201.9+15.8+1.7+19.3-186.2</f>
        <v>52.500000000000028</v>
      </c>
      <c r="V531" s="1">
        <f>201.9+15.8+1.7+22.1-241.5</f>
        <v>0</v>
      </c>
      <c r="W531" s="1">
        <v>0</v>
      </c>
      <c r="X531" s="1">
        <v>0</v>
      </c>
      <c r="Y531" s="1">
        <v>0</v>
      </c>
      <c r="Z531" s="1">
        <f>201.9+15.8+1.7</f>
        <v>219.4</v>
      </c>
      <c r="AA531" s="59">
        <f>SUM(T531:Z531)</f>
        <v>489.6</v>
      </c>
      <c r="AB531" s="58">
        <v>2024</v>
      </c>
      <c r="AC531" s="33"/>
    </row>
    <row r="532" spans="1:29" ht="49.5" hidden="1" customHeight="1" x14ac:dyDescent="0.25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40" t="s">
        <v>155</v>
      </c>
      <c r="S532" s="41" t="s">
        <v>8</v>
      </c>
      <c r="T532" s="2">
        <v>56</v>
      </c>
      <c r="U532" s="2">
        <v>56</v>
      </c>
      <c r="V532" s="2">
        <v>56</v>
      </c>
      <c r="W532" s="2">
        <v>56</v>
      </c>
      <c r="X532" s="2">
        <v>56</v>
      </c>
      <c r="Y532" s="2">
        <v>56</v>
      </c>
      <c r="Z532" s="2">
        <v>56</v>
      </c>
      <c r="AA532" s="49">
        <f>T532+U532+V532+W532+X532+Y532+Z532</f>
        <v>392</v>
      </c>
      <c r="AB532" s="41">
        <v>2024</v>
      </c>
    </row>
    <row r="533" spans="1:29" ht="64.5" hidden="1" customHeight="1" x14ac:dyDescent="0.25">
      <c r="A533" s="54" t="s">
        <v>18</v>
      </c>
      <c r="B533" s="54" t="s">
        <v>19</v>
      </c>
      <c r="C533" s="54" t="s">
        <v>24</v>
      </c>
      <c r="D533" s="54" t="s">
        <v>18</v>
      </c>
      <c r="E533" s="54" t="s">
        <v>21</v>
      </c>
      <c r="F533" s="54" t="s">
        <v>18</v>
      </c>
      <c r="G533" s="54" t="s">
        <v>22</v>
      </c>
      <c r="H533" s="54" t="s">
        <v>18</v>
      </c>
      <c r="I533" s="54" t="s">
        <v>23</v>
      </c>
      <c r="J533" s="54" t="s">
        <v>18</v>
      </c>
      <c r="K533" s="54" t="s">
        <v>18</v>
      </c>
      <c r="L533" s="54" t="s">
        <v>22</v>
      </c>
      <c r="M533" s="54" t="s">
        <v>18</v>
      </c>
      <c r="N533" s="54" t="s">
        <v>22</v>
      </c>
      <c r="O533" s="54" t="s">
        <v>22</v>
      </c>
      <c r="P533" s="54" t="s">
        <v>18</v>
      </c>
      <c r="Q533" s="54" t="s">
        <v>22</v>
      </c>
      <c r="R533" s="68" t="s">
        <v>156</v>
      </c>
      <c r="S533" s="55" t="s">
        <v>0</v>
      </c>
      <c r="T533" s="1"/>
      <c r="U533" s="1"/>
      <c r="V533" s="1"/>
      <c r="W533" s="1"/>
      <c r="X533" s="1"/>
      <c r="Y533" s="1"/>
      <c r="Z533" s="1"/>
      <c r="AA533" s="59">
        <f>T533+U533+V533+W533+X533+Y533</f>
        <v>0</v>
      </c>
      <c r="AB533" s="142">
        <v>2020</v>
      </c>
    </row>
    <row r="534" spans="1:29" ht="34.15" customHeight="1" x14ac:dyDescent="0.2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61" t="s">
        <v>155</v>
      </c>
      <c r="S534" s="142" t="s">
        <v>50</v>
      </c>
      <c r="T534" s="44">
        <v>70</v>
      </c>
      <c r="U534" s="44">
        <v>15</v>
      </c>
      <c r="V534" s="44">
        <f>68-68</f>
        <v>0</v>
      </c>
      <c r="W534" s="44">
        <v>0</v>
      </c>
      <c r="X534" s="44">
        <v>0</v>
      </c>
      <c r="Y534" s="44">
        <v>0</v>
      </c>
      <c r="Z534" s="44">
        <v>68</v>
      </c>
      <c r="AA534" s="45">
        <f t="shared" ref="AA534:AA539" si="151">SUM(T534:Z534)</f>
        <v>153</v>
      </c>
      <c r="AB534" s="41">
        <v>2024</v>
      </c>
      <c r="AC534" s="33"/>
    </row>
    <row r="535" spans="1:29" s="131" customFormat="1" hidden="1" x14ac:dyDescent="0.25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150" t="s">
        <v>341</v>
      </c>
      <c r="S535" s="55" t="s">
        <v>0</v>
      </c>
      <c r="T535" s="1">
        <v>0</v>
      </c>
      <c r="U535" s="1">
        <f>U536+U537</f>
        <v>459.4</v>
      </c>
      <c r="V535" s="1">
        <v>0</v>
      </c>
      <c r="W535" s="1">
        <v>0</v>
      </c>
      <c r="X535" s="1">
        <v>0</v>
      </c>
      <c r="Y535" s="1">
        <v>0</v>
      </c>
      <c r="Z535" s="1">
        <v>0</v>
      </c>
      <c r="AA535" s="59">
        <f t="shared" si="151"/>
        <v>459.4</v>
      </c>
      <c r="AB535" s="55">
        <v>2019</v>
      </c>
      <c r="AC535" s="130"/>
    </row>
    <row r="536" spans="1:29" s="131" customFormat="1" ht="31.15" customHeight="1" x14ac:dyDescent="0.25">
      <c r="A536" s="54" t="s">
        <v>18</v>
      </c>
      <c r="B536" s="54" t="s">
        <v>19</v>
      </c>
      <c r="C536" s="54" t="s">
        <v>20</v>
      </c>
      <c r="D536" s="54" t="s">
        <v>18</v>
      </c>
      <c r="E536" s="54" t="s">
        <v>24</v>
      </c>
      <c r="F536" s="54" t="s">
        <v>18</v>
      </c>
      <c r="G536" s="54" t="s">
        <v>21</v>
      </c>
      <c r="H536" s="54" t="s">
        <v>19</v>
      </c>
      <c r="I536" s="54" t="s">
        <v>24</v>
      </c>
      <c r="J536" s="54" t="s">
        <v>18</v>
      </c>
      <c r="K536" s="54" t="s">
        <v>18</v>
      </c>
      <c r="L536" s="54" t="s">
        <v>22</v>
      </c>
      <c r="M536" s="54" t="s">
        <v>19</v>
      </c>
      <c r="N536" s="54" t="s">
        <v>18</v>
      </c>
      <c r="O536" s="54" t="s">
        <v>21</v>
      </c>
      <c r="P536" s="54" t="s">
        <v>21</v>
      </c>
      <c r="Q536" s="54" t="s">
        <v>18</v>
      </c>
      <c r="R536" s="150"/>
      <c r="S536" s="55" t="s">
        <v>0</v>
      </c>
      <c r="T536" s="1">
        <v>0</v>
      </c>
      <c r="U536" s="1">
        <v>459.4</v>
      </c>
      <c r="V536" s="1">
        <v>0</v>
      </c>
      <c r="W536" s="1">
        <v>0</v>
      </c>
      <c r="X536" s="1">
        <v>0</v>
      </c>
      <c r="Y536" s="1">
        <v>0</v>
      </c>
      <c r="Z536" s="1">
        <v>0</v>
      </c>
      <c r="AA536" s="59">
        <f t="shared" si="151"/>
        <v>459.4</v>
      </c>
      <c r="AB536" s="55">
        <v>2019</v>
      </c>
      <c r="AC536" s="130"/>
    </row>
    <row r="537" spans="1:29" s="131" customFormat="1" hidden="1" x14ac:dyDescent="0.25">
      <c r="A537" s="54" t="s">
        <v>18</v>
      </c>
      <c r="B537" s="54" t="s">
        <v>19</v>
      </c>
      <c r="C537" s="54" t="s">
        <v>20</v>
      </c>
      <c r="D537" s="54" t="s">
        <v>18</v>
      </c>
      <c r="E537" s="54" t="s">
        <v>24</v>
      </c>
      <c r="F537" s="54" t="s">
        <v>18</v>
      </c>
      <c r="G537" s="54" t="s">
        <v>21</v>
      </c>
      <c r="H537" s="54" t="s">
        <v>19</v>
      </c>
      <c r="I537" s="54" t="s">
        <v>24</v>
      </c>
      <c r="J537" s="54" t="s">
        <v>18</v>
      </c>
      <c r="K537" s="54" t="s">
        <v>18</v>
      </c>
      <c r="L537" s="54" t="s">
        <v>22</v>
      </c>
      <c r="M537" s="54" t="s">
        <v>18</v>
      </c>
      <c r="N537" s="54" t="s">
        <v>18</v>
      </c>
      <c r="O537" s="54" t="s">
        <v>18</v>
      </c>
      <c r="P537" s="54" t="s">
        <v>18</v>
      </c>
      <c r="Q537" s="54" t="s">
        <v>18</v>
      </c>
      <c r="R537" s="150"/>
      <c r="S537" s="55" t="s">
        <v>0</v>
      </c>
      <c r="T537" s="1">
        <v>0</v>
      </c>
      <c r="U537" s="1">
        <v>0</v>
      </c>
      <c r="V537" s="1">
        <v>0</v>
      </c>
      <c r="W537" s="1">
        <v>0</v>
      </c>
      <c r="X537" s="1">
        <v>0</v>
      </c>
      <c r="Y537" s="1">
        <v>0</v>
      </c>
      <c r="Z537" s="1">
        <v>0</v>
      </c>
      <c r="AA537" s="59">
        <f t="shared" si="151"/>
        <v>0</v>
      </c>
      <c r="AB537" s="55">
        <v>2019</v>
      </c>
      <c r="AC537" s="130"/>
    </row>
    <row r="538" spans="1:29" s="72" customFormat="1" ht="47.25" x14ac:dyDescent="0.25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 t="s">
        <v>323</v>
      </c>
      <c r="N538" s="39"/>
      <c r="O538" s="39"/>
      <c r="P538" s="39"/>
      <c r="Q538" s="39"/>
      <c r="R538" s="40" t="s">
        <v>322</v>
      </c>
      <c r="S538" s="41" t="s">
        <v>287</v>
      </c>
      <c r="T538" s="44">
        <v>0</v>
      </c>
      <c r="U538" s="44">
        <v>175</v>
      </c>
      <c r="V538" s="44">
        <v>0</v>
      </c>
      <c r="W538" s="44">
        <v>0</v>
      </c>
      <c r="X538" s="44">
        <v>0</v>
      </c>
      <c r="Y538" s="44">
        <v>0</v>
      </c>
      <c r="Z538" s="44">
        <v>0</v>
      </c>
      <c r="AA538" s="49">
        <f t="shared" si="151"/>
        <v>175</v>
      </c>
      <c r="AB538" s="41">
        <v>2019</v>
      </c>
      <c r="AC538" s="111"/>
    </row>
    <row r="539" spans="1:29" s="72" customFormat="1" ht="31.5" x14ac:dyDescent="0.25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40" t="s">
        <v>303</v>
      </c>
      <c r="S539" s="41" t="s">
        <v>50</v>
      </c>
      <c r="T539" s="44">
        <v>0</v>
      </c>
      <c r="U539" s="44">
        <v>347</v>
      </c>
      <c r="V539" s="44">
        <v>0</v>
      </c>
      <c r="W539" s="44">
        <v>0</v>
      </c>
      <c r="X539" s="44">
        <v>0</v>
      </c>
      <c r="Y539" s="44">
        <v>0</v>
      </c>
      <c r="Z539" s="44">
        <v>0</v>
      </c>
      <c r="AA539" s="49">
        <f t="shared" si="151"/>
        <v>347</v>
      </c>
      <c r="AB539" s="41">
        <v>2019</v>
      </c>
      <c r="AC539" s="111"/>
    </row>
    <row r="540" spans="1:29" ht="47.25" x14ac:dyDescent="0.25">
      <c r="A540" s="54"/>
      <c r="B540" s="54"/>
      <c r="C540" s="54"/>
      <c r="D540" s="54" t="s">
        <v>18</v>
      </c>
      <c r="E540" s="54" t="s">
        <v>21</v>
      </c>
      <c r="F540" s="54" t="s">
        <v>18</v>
      </c>
      <c r="G540" s="54" t="s">
        <v>22</v>
      </c>
      <c r="H540" s="54" t="s">
        <v>19</v>
      </c>
      <c r="I540" s="54" t="s">
        <v>24</v>
      </c>
      <c r="J540" s="54" t="s">
        <v>18</v>
      </c>
      <c r="K540" s="54" t="s">
        <v>18</v>
      </c>
      <c r="L540" s="54" t="s">
        <v>22</v>
      </c>
      <c r="M540" s="54" t="s">
        <v>43</v>
      </c>
      <c r="N540" s="54" t="s">
        <v>43</v>
      </c>
      <c r="O540" s="54" t="s">
        <v>43</v>
      </c>
      <c r="P540" s="54" t="s">
        <v>43</v>
      </c>
      <c r="Q540" s="54" t="s">
        <v>43</v>
      </c>
      <c r="R540" s="68" t="s">
        <v>157</v>
      </c>
      <c r="S540" s="58" t="s">
        <v>0</v>
      </c>
      <c r="T540" s="59">
        <f t="shared" ref="T540:Y541" si="152">T542+T544+T546+T548</f>
        <v>69.999999999999986</v>
      </c>
      <c r="U540" s="59">
        <f t="shared" si="152"/>
        <v>25.8</v>
      </c>
      <c r="V540" s="59">
        <f t="shared" si="152"/>
        <v>57.699999999999996</v>
      </c>
      <c r="W540" s="59">
        <f t="shared" si="152"/>
        <v>0</v>
      </c>
      <c r="X540" s="59">
        <f t="shared" si="152"/>
        <v>0</v>
      </c>
      <c r="Y540" s="59">
        <f t="shared" si="152"/>
        <v>0</v>
      </c>
      <c r="Z540" s="59">
        <f t="shared" ref="Z540" si="153">Z542+Z544+Z546+Z548</f>
        <v>0</v>
      </c>
      <c r="AA540" s="59">
        <f>AA542+AA544+AA546+AA548</f>
        <v>153.5</v>
      </c>
      <c r="AB540" s="58">
        <v>2020</v>
      </c>
      <c r="AC540" s="120"/>
    </row>
    <row r="541" spans="1:29" ht="47.25" x14ac:dyDescent="0.2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61" t="s">
        <v>158</v>
      </c>
      <c r="S541" s="142" t="s">
        <v>38</v>
      </c>
      <c r="T541" s="44">
        <f t="shared" si="152"/>
        <v>27</v>
      </c>
      <c r="U541" s="44">
        <f t="shared" si="152"/>
        <v>4</v>
      </c>
      <c r="V541" s="44">
        <f t="shared" si="152"/>
        <v>16</v>
      </c>
      <c r="W541" s="44">
        <f t="shared" si="152"/>
        <v>0</v>
      </c>
      <c r="X541" s="44">
        <f t="shared" si="152"/>
        <v>0</v>
      </c>
      <c r="Y541" s="44">
        <f t="shared" si="152"/>
        <v>0</v>
      </c>
      <c r="Z541" s="44">
        <f>Z543+Z545+Z547+Z549</f>
        <v>0</v>
      </c>
      <c r="AA541" s="49">
        <f>T541+U541+V541+W541+X541+Y541+Z541</f>
        <v>47</v>
      </c>
      <c r="AB541" s="41">
        <v>2020</v>
      </c>
      <c r="AC541" s="33"/>
    </row>
    <row r="542" spans="1:29" ht="47.25" x14ac:dyDescent="0.25">
      <c r="A542" s="54" t="s">
        <v>18</v>
      </c>
      <c r="B542" s="54" t="s">
        <v>18</v>
      </c>
      <c r="C542" s="54" t="s">
        <v>22</v>
      </c>
      <c r="D542" s="54" t="s">
        <v>18</v>
      </c>
      <c r="E542" s="54" t="s">
        <v>21</v>
      </c>
      <c r="F542" s="54" t="s">
        <v>18</v>
      </c>
      <c r="G542" s="54" t="s">
        <v>22</v>
      </c>
      <c r="H542" s="54" t="s">
        <v>19</v>
      </c>
      <c r="I542" s="54" t="s">
        <v>24</v>
      </c>
      <c r="J542" s="54" t="s">
        <v>18</v>
      </c>
      <c r="K542" s="54" t="s">
        <v>18</v>
      </c>
      <c r="L542" s="54" t="s">
        <v>22</v>
      </c>
      <c r="M542" s="54" t="s">
        <v>43</v>
      </c>
      <c r="N542" s="54" t="s">
        <v>43</v>
      </c>
      <c r="O542" s="54" t="s">
        <v>43</v>
      </c>
      <c r="P542" s="54" t="s">
        <v>43</v>
      </c>
      <c r="Q542" s="54" t="s">
        <v>43</v>
      </c>
      <c r="R542" s="68" t="s">
        <v>159</v>
      </c>
      <c r="S542" s="55" t="s">
        <v>0</v>
      </c>
      <c r="T542" s="1">
        <f>18.2-1.8-10.9</f>
        <v>5.4999999999999982</v>
      </c>
      <c r="U542" s="1">
        <v>18.2</v>
      </c>
      <c r="V542" s="1">
        <v>0</v>
      </c>
      <c r="W542" s="1">
        <v>0</v>
      </c>
      <c r="X542" s="1">
        <v>0</v>
      </c>
      <c r="Y542" s="1">
        <v>0</v>
      </c>
      <c r="Z542" s="1">
        <v>0</v>
      </c>
      <c r="AA542" s="59">
        <f t="shared" ref="AA542:AA549" si="154">T542+U542+V542+W542+X542+Y542+Z542</f>
        <v>23.699999999999996</v>
      </c>
      <c r="AB542" s="58">
        <v>2020</v>
      </c>
      <c r="AC542" s="120"/>
    </row>
    <row r="543" spans="1:29" ht="63" x14ac:dyDescent="0.25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61" t="s">
        <v>160</v>
      </c>
      <c r="S543" s="142" t="s">
        <v>38</v>
      </c>
      <c r="T543" s="82">
        <v>2</v>
      </c>
      <c r="U543" s="82">
        <v>2</v>
      </c>
      <c r="V543" s="82">
        <v>0</v>
      </c>
      <c r="W543" s="82">
        <v>0</v>
      </c>
      <c r="X543" s="82">
        <v>0</v>
      </c>
      <c r="Y543" s="82">
        <v>0</v>
      </c>
      <c r="Z543" s="82">
        <v>0</v>
      </c>
      <c r="AA543" s="98">
        <f t="shared" si="154"/>
        <v>4</v>
      </c>
      <c r="AB543" s="41">
        <v>2020</v>
      </c>
      <c r="AC543" s="33"/>
    </row>
    <row r="544" spans="1:29" ht="47.25" x14ac:dyDescent="0.25">
      <c r="A544" s="54" t="s">
        <v>18</v>
      </c>
      <c r="B544" s="54" t="s">
        <v>18</v>
      </c>
      <c r="C544" s="54" t="s">
        <v>24</v>
      </c>
      <c r="D544" s="54" t="s">
        <v>18</v>
      </c>
      <c r="E544" s="54" t="s">
        <v>21</v>
      </c>
      <c r="F544" s="54" t="s">
        <v>18</v>
      </c>
      <c r="G544" s="54" t="s">
        <v>22</v>
      </c>
      <c r="H544" s="54" t="s">
        <v>19</v>
      </c>
      <c r="I544" s="54" t="s">
        <v>24</v>
      </c>
      <c r="J544" s="54" t="s">
        <v>18</v>
      </c>
      <c r="K544" s="54" t="s">
        <v>18</v>
      </c>
      <c r="L544" s="54" t="s">
        <v>22</v>
      </c>
      <c r="M544" s="54" t="s">
        <v>43</v>
      </c>
      <c r="N544" s="54" t="s">
        <v>43</v>
      </c>
      <c r="O544" s="54" t="s">
        <v>43</v>
      </c>
      <c r="P544" s="54" t="s">
        <v>43</v>
      </c>
      <c r="Q544" s="54" t="s">
        <v>43</v>
      </c>
      <c r="R544" s="68" t="s">
        <v>159</v>
      </c>
      <c r="S544" s="55" t="s">
        <v>0</v>
      </c>
      <c r="T544" s="1">
        <f>72.8-43.1</f>
        <v>29.699999999999996</v>
      </c>
      <c r="U544" s="1">
        <f>31.8-31.8</f>
        <v>0</v>
      </c>
      <c r="V544" s="1">
        <v>31.8</v>
      </c>
      <c r="W544" s="1">
        <v>0</v>
      </c>
      <c r="X544" s="1">
        <v>0</v>
      </c>
      <c r="Y544" s="1">
        <v>0</v>
      </c>
      <c r="Z544" s="1">
        <v>0</v>
      </c>
      <c r="AA544" s="59">
        <f t="shared" si="154"/>
        <v>61.5</v>
      </c>
      <c r="AB544" s="58">
        <v>2020</v>
      </c>
      <c r="AC544" s="120"/>
    </row>
    <row r="545" spans="1:33" ht="46.15" customHeight="1" x14ac:dyDescent="0.25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61" t="s">
        <v>161</v>
      </c>
      <c r="S545" s="142" t="s">
        <v>38</v>
      </c>
      <c r="T545" s="82">
        <v>10</v>
      </c>
      <c r="U545" s="82">
        <v>0</v>
      </c>
      <c r="V545" s="82">
        <v>10</v>
      </c>
      <c r="W545" s="82">
        <v>0</v>
      </c>
      <c r="X545" s="82">
        <v>0</v>
      </c>
      <c r="Y545" s="82">
        <v>0</v>
      </c>
      <c r="Z545" s="82">
        <v>0</v>
      </c>
      <c r="AA545" s="98">
        <f t="shared" si="154"/>
        <v>20</v>
      </c>
      <c r="AB545" s="41">
        <v>2020</v>
      </c>
      <c r="AC545" s="33"/>
    </row>
    <row r="546" spans="1:33" ht="47.25" x14ac:dyDescent="0.25">
      <c r="A546" s="54" t="s">
        <v>18</v>
      </c>
      <c r="B546" s="54" t="s">
        <v>18</v>
      </c>
      <c r="C546" s="54" t="s">
        <v>21</v>
      </c>
      <c r="D546" s="54" t="s">
        <v>18</v>
      </c>
      <c r="E546" s="54" t="s">
        <v>21</v>
      </c>
      <c r="F546" s="54" t="s">
        <v>18</v>
      </c>
      <c r="G546" s="54" t="s">
        <v>22</v>
      </c>
      <c r="H546" s="54" t="s">
        <v>19</v>
      </c>
      <c r="I546" s="54" t="s">
        <v>24</v>
      </c>
      <c r="J546" s="54" t="s">
        <v>18</v>
      </c>
      <c r="K546" s="54" t="s">
        <v>18</v>
      </c>
      <c r="L546" s="54" t="s">
        <v>22</v>
      </c>
      <c r="M546" s="54" t="s">
        <v>43</v>
      </c>
      <c r="N546" s="54" t="s">
        <v>43</v>
      </c>
      <c r="O546" s="54" t="s">
        <v>43</v>
      </c>
      <c r="P546" s="54" t="s">
        <v>43</v>
      </c>
      <c r="Q546" s="54" t="s">
        <v>43</v>
      </c>
      <c r="R546" s="68" t="s">
        <v>162</v>
      </c>
      <c r="S546" s="55" t="s">
        <v>0</v>
      </c>
      <c r="T546" s="63">
        <f>36.4-4.4</f>
        <v>32</v>
      </c>
      <c r="U546" s="63">
        <f>34.6-34.6</f>
        <v>0</v>
      </c>
      <c r="V546" s="63">
        <f>31.8-22.8</f>
        <v>9</v>
      </c>
      <c r="W546" s="1">
        <v>0</v>
      </c>
      <c r="X546" s="1">
        <v>0</v>
      </c>
      <c r="Y546" s="1">
        <v>0</v>
      </c>
      <c r="Z546" s="1">
        <v>0</v>
      </c>
      <c r="AA546" s="59">
        <f t="shared" si="154"/>
        <v>41</v>
      </c>
      <c r="AB546" s="58">
        <v>2020</v>
      </c>
      <c r="AC546" s="119"/>
      <c r="AD546" s="102"/>
    </row>
    <row r="547" spans="1:33" ht="63" x14ac:dyDescent="0.25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61" t="s">
        <v>163</v>
      </c>
      <c r="S547" s="142" t="s">
        <v>38</v>
      </c>
      <c r="T547" s="82">
        <v>14</v>
      </c>
      <c r="U547" s="82">
        <v>0</v>
      </c>
      <c r="V547" s="82">
        <v>2</v>
      </c>
      <c r="W547" s="82">
        <v>0</v>
      </c>
      <c r="X547" s="82">
        <v>0</v>
      </c>
      <c r="Y547" s="82">
        <v>0</v>
      </c>
      <c r="Z547" s="82">
        <v>0</v>
      </c>
      <c r="AA547" s="99">
        <f t="shared" si="154"/>
        <v>16</v>
      </c>
      <c r="AB547" s="41">
        <v>2020</v>
      </c>
      <c r="AC547" s="33"/>
    </row>
    <row r="548" spans="1:33" ht="47.25" x14ac:dyDescent="0.25">
      <c r="A548" s="54" t="s">
        <v>18</v>
      </c>
      <c r="B548" s="54" t="s">
        <v>18</v>
      </c>
      <c r="C548" s="54" t="s">
        <v>25</v>
      </c>
      <c r="D548" s="54" t="s">
        <v>18</v>
      </c>
      <c r="E548" s="54" t="s">
        <v>21</v>
      </c>
      <c r="F548" s="54" t="s">
        <v>18</v>
      </c>
      <c r="G548" s="54" t="s">
        <v>22</v>
      </c>
      <c r="H548" s="54" t="s">
        <v>19</v>
      </c>
      <c r="I548" s="54" t="s">
        <v>24</v>
      </c>
      <c r="J548" s="54" t="s">
        <v>18</v>
      </c>
      <c r="K548" s="54" t="s">
        <v>18</v>
      </c>
      <c r="L548" s="54" t="s">
        <v>22</v>
      </c>
      <c r="M548" s="54" t="s">
        <v>43</v>
      </c>
      <c r="N548" s="54" t="s">
        <v>43</v>
      </c>
      <c r="O548" s="54" t="s">
        <v>43</v>
      </c>
      <c r="P548" s="54" t="s">
        <v>43</v>
      </c>
      <c r="Q548" s="54" t="s">
        <v>43</v>
      </c>
      <c r="R548" s="68" t="s">
        <v>159</v>
      </c>
      <c r="S548" s="55" t="s">
        <v>0</v>
      </c>
      <c r="T548" s="1">
        <f>35-32.2</f>
        <v>2.7999999999999972</v>
      </c>
      <c r="U548" s="1">
        <f>35-27.4</f>
        <v>7.6000000000000014</v>
      </c>
      <c r="V548" s="1">
        <f>35-18.1</f>
        <v>16.899999999999999</v>
      </c>
      <c r="W548" s="1">
        <v>0</v>
      </c>
      <c r="X548" s="1">
        <v>0</v>
      </c>
      <c r="Y548" s="1">
        <v>0</v>
      </c>
      <c r="Z548" s="1">
        <v>0</v>
      </c>
      <c r="AA548" s="59">
        <f t="shared" si="154"/>
        <v>27.299999999999997</v>
      </c>
      <c r="AB548" s="58">
        <v>2020</v>
      </c>
      <c r="AC548" s="33"/>
    </row>
    <row r="549" spans="1:33" ht="63" x14ac:dyDescent="0.25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61" t="s">
        <v>164</v>
      </c>
      <c r="S549" s="142" t="s">
        <v>38</v>
      </c>
      <c r="T549" s="41">
        <v>1</v>
      </c>
      <c r="U549" s="41">
        <v>2</v>
      </c>
      <c r="V549" s="41">
        <v>4</v>
      </c>
      <c r="W549" s="82">
        <v>0</v>
      </c>
      <c r="X549" s="82">
        <v>0</v>
      </c>
      <c r="Y549" s="82">
        <v>0</v>
      </c>
      <c r="Z549" s="82">
        <v>0</v>
      </c>
      <c r="AA549" s="49">
        <f t="shared" si="154"/>
        <v>7</v>
      </c>
      <c r="AB549" s="41">
        <v>2020</v>
      </c>
      <c r="AC549" s="33"/>
    </row>
    <row r="550" spans="1:33" ht="47.25" hidden="1" x14ac:dyDescent="0.25">
      <c r="A550" s="54" t="s">
        <v>18</v>
      </c>
      <c r="B550" s="54" t="s">
        <v>19</v>
      </c>
      <c r="C550" s="54" t="s">
        <v>20</v>
      </c>
      <c r="D550" s="54" t="s">
        <v>18</v>
      </c>
      <c r="E550" s="54" t="s">
        <v>24</v>
      </c>
      <c r="F550" s="54" t="s">
        <v>18</v>
      </c>
      <c r="G550" s="54" t="s">
        <v>21</v>
      </c>
      <c r="H550" s="54" t="s">
        <v>19</v>
      </c>
      <c r="I550" s="54" t="s">
        <v>24</v>
      </c>
      <c r="J550" s="54" t="s">
        <v>18</v>
      </c>
      <c r="K550" s="54" t="s">
        <v>18</v>
      </c>
      <c r="L550" s="54" t="s">
        <v>22</v>
      </c>
      <c r="M550" s="54" t="s">
        <v>18</v>
      </c>
      <c r="N550" s="54" t="s">
        <v>18</v>
      </c>
      <c r="O550" s="54" t="s">
        <v>18</v>
      </c>
      <c r="P550" s="54" t="s">
        <v>18</v>
      </c>
      <c r="Q550" s="54" t="s">
        <v>18</v>
      </c>
      <c r="R550" s="69" t="s">
        <v>304</v>
      </c>
      <c r="S550" s="58" t="s">
        <v>0</v>
      </c>
      <c r="T550" s="59">
        <v>0</v>
      </c>
      <c r="U550" s="59">
        <v>0</v>
      </c>
      <c r="V550" s="59">
        <v>0</v>
      </c>
      <c r="W550" s="1">
        <v>0</v>
      </c>
      <c r="X550" s="59">
        <v>0</v>
      </c>
      <c r="Y550" s="59">
        <v>0</v>
      </c>
      <c r="Z550" s="59">
        <v>0</v>
      </c>
      <c r="AA550" s="59">
        <f>T550+U550+V550+W550+X550+Y550</f>
        <v>0</v>
      </c>
      <c r="AB550" s="58">
        <v>2019</v>
      </c>
      <c r="AC550" s="33"/>
    </row>
    <row r="551" spans="1:33" ht="31.5" hidden="1" x14ac:dyDescent="0.25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61" t="s">
        <v>173</v>
      </c>
      <c r="S551" s="142" t="s">
        <v>38</v>
      </c>
      <c r="T551" s="41">
        <v>0</v>
      </c>
      <c r="U551" s="41">
        <v>1</v>
      </c>
      <c r="V551" s="41">
        <v>0</v>
      </c>
      <c r="W551" s="82">
        <v>0</v>
      </c>
      <c r="X551" s="41">
        <v>0</v>
      </c>
      <c r="Y551" s="41">
        <v>0</v>
      </c>
      <c r="Z551" s="41">
        <v>0</v>
      </c>
      <c r="AA551" s="49">
        <v>1</v>
      </c>
      <c r="AB551" s="41">
        <v>2019</v>
      </c>
      <c r="AC551" s="33"/>
    </row>
    <row r="552" spans="1:33" ht="78.75" hidden="1" x14ac:dyDescent="0.25">
      <c r="A552" s="54" t="s">
        <v>18</v>
      </c>
      <c r="B552" s="54" t="s">
        <v>19</v>
      </c>
      <c r="C552" s="54" t="s">
        <v>20</v>
      </c>
      <c r="D552" s="54" t="s">
        <v>18</v>
      </c>
      <c r="E552" s="54" t="s">
        <v>24</v>
      </c>
      <c r="F552" s="54" t="s">
        <v>18</v>
      </c>
      <c r="G552" s="54" t="s">
        <v>21</v>
      </c>
      <c r="H552" s="54" t="s">
        <v>19</v>
      </c>
      <c r="I552" s="54" t="s">
        <v>24</v>
      </c>
      <c r="J552" s="54" t="s">
        <v>18</v>
      </c>
      <c r="K552" s="54" t="s">
        <v>18</v>
      </c>
      <c r="L552" s="54" t="s">
        <v>22</v>
      </c>
      <c r="M552" s="54" t="s">
        <v>18</v>
      </c>
      <c r="N552" s="54" t="s">
        <v>18</v>
      </c>
      <c r="O552" s="54" t="s">
        <v>18</v>
      </c>
      <c r="P552" s="54" t="s">
        <v>18</v>
      </c>
      <c r="Q552" s="54" t="s">
        <v>18</v>
      </c>
      <c r="R552" s="69" t="s">
        <v>305</v>
      </c>
      <c r="S552" s="58" t="s">
        <v>0</v>
      </c>
      <c r="T552" s="59">
        <v>0</v>
      </c>
      <c r="U552" s="59">
        <v>0</v>
      </c>
      <c r="V552" s="59">
        <v>0</v>
      </c>
      <c r="W552" s="1">
        <v>0</v>
      </c>
      <c r="X552" s="59">
        <v>0</v>
      </c>
      <c r="Y552" s="59">
        <v>0</v>
      </c>
      <c r="Z552" s="59">
        <v>0</v>
      </c>
      <c r="AA552" s="59">
        <f>T552+U552+V552+W552+X552+Y552</f>
        <v>0</v>
      </c>
      <c r="AB552" s="58">
        <v>2019</v>
      </c>
      <c r="AC552" s="33"/>
    </row>
    <row r="553" spans="1:33" s="72" customFormat="1" ht="33" hidden="1" customHeight="1" x14ac:dyDescent="0.25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40" t="s">
        <v>306</v>
      </c>
      <c r="S553" s="41" t="s">
        <v>38</v>
      </c>
      <c r="T553" s="41">
        <v>0</v>
      </c>
      <c r="U553" s="41">
        <v>1</v>
      </c>
      <c r="V553" s="41">
        <v>0</v>
      </c>
      <c r="W553" s="82">
        <v>0</v>
      </c>
      <c r="X553" s="41">
        <v>0</v>
      </c>
      <c r="Y553" s="41">
        <v>0</v>
      </c>
      <c r="Z553" s="41">
        <v>0</v>
      </c>
      <c r="AA553" s="49">
        <f>U553</f>
        <v>1</v>
      </c>
      <c r="AB553" s="41">
        <v>2019</v>
      </c>
      <c r="AC553" s="111"/>
    </row>
    <row r="554" spans="1:33" ht="78.75" x14ac:dyDescent="0.25">
      <c r="A554" s="54" t="s">
        <v>18</v>
      </c>
      <c r="B554" s="54" t="s">
        <v>19</v>
      </c>
      <c r="C554" s="54" t="s">
        <v>20</v>
      </c>
      <c r="D554" s="54" t="s">
        <v>18</v>
      </c>
      <c r="E554" s="54" t="s">
        <v>24</v>
      </c>
      <c r="F554" s="54" t="s">
        <v>18</v>
      </c>
      <c r="G554" s="54" t="s">
        <v>21</v>
      </c>
      <c r="H554" s="54" t="s">
        <v>19</v>
      </c>
      <c r="I554" s="54" t="s">
        <v>24</v>
      </c>
      <c r="J554" s="54" t="s">
        <v>18</v>
      </c>
      <c r="K554" s="54" t="s">
        <v>18</v>
      </c>
      <c r="L554" s="54" t="s">
        <v>22</v>
      </c>
      <c r="M554" s="54" t="s">
        <v>19</v>
      </c>
      <c r="N554" s="54" t="s">
        <v>18</v>
      </c>
      <c r="O554" s="54" t="s">
        <v>21</v>
      </c>
      <c r="P554" s="54" t="s">
        <v>21</v>
      </c>
      <c r="Q554" s="54" t="s">
        <v>18</v>
      </c>
      <c r="R554" s="141" t="s">
        <v>318</v>
      </c>
      <c r="S554" s="58" t="s">
        <v>0</v>
      </c>
      <c r="T554" s="59">
        <v>0</v>
      </c>
      <c r="U554" s="59">
        <v>731.8</v>
      </c>
      <c r="V554" s="59">
        <v>0</v>
      </c>
      <c r="W554" s="59">
        <v>0</v>
      </c>
      <c r="X554" s="59">
        <v>0</v>
      </c>
      <c r="Y554" s="59">
        <v>0</v>
      </c>
      <c r="Z554" s="59">
        <v>0</v>
      </c>
      <c r="AA554" s="59">
        <f>T554+U554+V554+W554+X554+Y554</f>
        <v>731.8</v>
      </c>
      <c r="AB554" s="58">
        <v>2019</v>
      </c>
    </row>
    <row r="555" spans="1:33" s="72" customFormat="1" ht="30.6" customHeight="1" x14ac:dyDescent="0.25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40" t="s">
        <v>307</v>
      </c>
      <c r="S555" s="41" t="s">
        <v>50</v>
      </c>
      <c r="T555" s="44">
        <v>0</v>
      </c>
      <c r="U555" s="44">
        <v>347</v>
      </c>
      <c r="V555" s="44">
        <v>0</v>
      </c>
      <c r="W555" s="44">
        <v>0</v>
      </c>
      <c r="X555" s="44">
        <v>0</v>
      </c>
      <c r="Y555" s="44">
        <v>0</v>
      </c>
      <c r="Z555" s="44">
        <v>0</v>
      </c>
      <c r="AA555" s="49">
        <f>U555</f>
        <v>347</v>
      </c>
      <c r="AB555" s="73">
        <v>2019</v>
      </c>
      <c r="AC555" s="111"/>
    </row>
    <row r="556" spans="1:33" ht="52.15" customHeight="1" x14ac:dyDescent="0.25">
      <c r="A556" s="54" t="s">
        <v>18</v>
      </c>
      <c r="B556" s="54" t="s">
        <v>19</v>
      </c>
      <c r="C556" s="54" t="s">
        <v>20</v>
      </c>
      <c r="D556" s="54" t="s">
        <v>18</v>
      </c>
      <c r="E556" s="54" t="s">
        <v>24</v>
      </c>
      <c r="F556" s="54" t="s">
        <v>18</v>
      </c>
      <c r="G556" s="54" t="s">
        <v>21</v>
      </c>
      <c r="H556" s="54" t="s">
        <v>19</v>
      </c>
      <c r="I556" s="54" t="s">
        <v>24</v>
      </c>
      <c r="J556" s="54" t="s">
        <v>18</v>
      </c>
      <c r="K556" s="54" t="s">
        <v>18</v>
      </c>
      <c r="L556" s="54" t="s">
        <v>22</v>
      </c>
      <c r="M556" s="54" t="s">
        <v>43</v>
      </c>
      <c r="N556" s="54" t="s">
        <v>43</v>
      </c>
      <c r="O556" s="54" t="s">
        <v>43</v>
      </c>
      <c r="P556" s="54" t="s">
        <v>43</v>
      </c>
      <c r="Q556" s="54" t="s">
        <v>43</v>
      </c>
      <c r="R556" s="69" t="s">
        <v>319</v>
      </c>
      <c r="S556" s="58" t="s">
        <v>0</v>
      </c>
      <c r="T556" s="59">
        <v>0</v>
      </c>
      <c r="U556" s="59">
        <v>6000</v>
      </c>
      <c r="V556" s="59">
        <v>0</v>
      </c>
      <c r="W556" s="59">
        <v>0</v>
      </c>
      <c r="X556" s="59">
        <v>0</v>
      </c>
      <c r="Y556" s="59">
        <v>0</v>
      </c>
      <c r="Z556" s="59">
        <v>0</v>
      </c>
      <c r="AA556" s="59">
        <f>T556+U556+V556+W556+X556+Y556</f>
        <v>6000</v>
      </c>
      <c r="AB556" s="58">
        <v>2019</v>
      </c>
      <c r="AC556" s="33"/>
    </row>
    <row r="557" spans="1:33" s="72" customFormat="1" ht="52.9" customHeight="1" x14ac:dyDescent="0.25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40" t="s">
        <v>321</v>
      </c>
      <c r="S557" s="41" t="s">
        <v>38</v>
      </c>
      <c r="T557" s="41">
        <v>0</v>
      </c>
      <c r="U557" s="41">
        <v>1</v>
      </c>
      <c r="V557" s="41">
        <v>0</v>
      </c>
      <c r="W557" s="41">
        <v>0</v>
      </c>
      <c r="X557" s="41">
        <v>0</v>
      </c>
      <c r="Y557" s="41">
        <v>0</v>
      </c>
      <c r="Z557" s="41">
        <v>0</v>
      </c>
      <c r="AA557" s="49">
        <f>U557</f>
        <v>1</v>
      </c>
      <c r="AB557" s="41">
        <v>2019</v>
      </c>
      <c r="AC557" s="111"/>
    </row>
    <row r="558" spans="1:33" ht="46.15" customHeight="1" x14ac:dyDescent="0.25">
      <c r="A558" s="46"/>
      <c r="B558" s="46"/>
      <c r="C558" s="46"/>
      <c r="D558" s="46"/>
      <c r="E558" s="46"/>
      <c r="F558" s="46"/>
      <c r="G558" s="46"/>
      <c r="H558" s="46" t="s">
        <v>19</v>
      </c>
      <c r="I558" s="46" t="s">
        <v>24</v>
      </c>
      <c r="J558" s="46" t="s">
        <v>18</v>
      </c>
      <c r="K558" s="46" t="s">
        <v>18</v>
      </c>
      <c r="L558" s="46" t="s">
        <v>24</v>
      </c>
      <c r="M558" s="46" t="s">
        <v>18</v>
      </c>
      <c r="N558" s="46" t="s">
        <v>18</v>
      </c>
      <c r="O558" s="46" t="s">
        <v>18</v>
      </c>
      <c r="P558" s="46" t="s">
        <v>18</v>
      </c>
      <c r="Q558" s="46" t="s">
        <v>18</v>
      </c>
      <c r="R558" s="75" t="s">
        <v>54</v>
      </c>
      <c r="S558" s="149" t="s">
        <v>0</v>
      </c>
      <c r="T558" s="148">
        <f t="shared" ref="T558:Y558" si="155">T560+T568+T571</f>
        <v>25348.3</v>
      </c>
      <c r="U558" s="148">
        <f t="shared" si="155"/>
        <v>35592.6</v>
      </c>
      <c r="V558" s="148">
        <f t="shared" si="155"/>
        <v>25348.3</v>
      </c>
      <c r="W558" s="148">
        <f>W560+W568+W571</f>
        <v>21770.400000000001</v>
      </c>
      <c r="X558" s="148">
        <f>X560+X568+X571</f>
        <v>21770.400000000001</v>
      </c>
      <c r="Y558" s="148">
        <f t="shared" si="155"/>
        <v>21770.400000000001</v>
      </c>
      <c r="Z558" s="148">
        <f t="shared" ref="Z558" si="156">Z560+Z568+Z571</f>
        <v>21770.400000000001</v>
      </c>
      <c r="AA558" s="148">
        <f>SUM(T558:Z558)</f>
        <v>173370.8</v>
      </c>
      <c r="AB558" s="149">
        <v>2024</v>
      </c>
    </row>
    <row r="559" spans="1:33" ht="47.25" x14ac:dyDescent="0.25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92" t="s">
        <v>165</v>
      </c>
      <c r="S559" s="142" t="s">
        <v>52</v>
      </c>
      <c r="T559" s="137">
        <f>T563</f>
        <v>2225</v>
      </c>
      <c r="U559" s="137">
        <f t="shared" ref="U559:AA559" si="157">U563</f>
        <v>2224</v>
      </c>
      <c r="V559" s="137">
        <f t="shared" si="157"/>
        <v>2224</v>
      </c>
      <c r="W559" s="137">
        <f t="shared" si="157"/>
        <v>2224</v>
      </c>
      <c r="X559" s="137">
        <f t="shared" si="157"/>
        <v>2224</v>
      </c>
      <c r="Y559" s="137">
        <f t="shared" si="157"/>
        <v>2224</v>
      </c>
      <c r="Z559" s="137">
        <f t="shared" ref="Z559" si="158">Z563</f>
        <v>2224</v>
      </c>
      <c r="AA559" s="138">
        <f t="shared" si="157"/>
        <v>2224</v>
      </c>
      <c r="AB559" s="41">
        <v>2024</v>
      </c>
      <c r="AD559" s="12"/>
      <c r="AE559" s="12"/>
      <c r="AF559" s="12"/>
      <c r="AG559" s="12"/>
    </row>
    <row r="560" spans="1:33" ht="18.600000000000001" customHeight="1" x14ac:dyDescent="0.25">
      <c r="A560" s="54"/>
      <c r="B560" s="54"/>
      <c r="C560" s="54"/>
      <c r="D560" s="54" t="s">
        <v>18</v>
      </c>
      <c r="E560" s="54" t="s">
        <v>21</v>
      </c>
      <c r="F560" s="54" t="s">
        <v>18</v>
      </c>
      <c r="G560" s="54" t="s">
        <v>22</v>
      </c>
      <c r="H560" s="54" t="s">
        <v>19</v>
      </c>
      <c r="I560" s="54" t="s">
        <v>24</v>
      </c>
      <c r="J560" s="54" t="s">
        <v>18</v>
      </c>
      <c r="K560" s="54" t="s">
        <v>18</v>
      </c>
      <c r="L560" s="54" t="s">
        <v>24</v>
      </c>
      <c r="M560" s="54" t="s">
        <v>43</v>
      </c>
      <c r="N560" s="54" t="s">
        <v>43</v>
      </c>
      <c r="O560" s="54" t="s">
        <v>43</v>
      </c>
      <c r="P560" s="54" t="s">
        <v>43</v>
      </c>
      <c r="Q560" s="54" t="s">
        <v>43</v>
      </c>
      <c r="R560" s="154" t="s">
        <v>166</v>
      </c>
      <c r="S560" s="58" t="s">
        <v>0</v>
      </c>
      <c r="T560" s="59">
        <v>25348.3</v>
      </c>
      <c r="U560" s="59">
        <f>23600+1311.8</f>
        <v>24911.8</v>
      </c>
      <c r="V560" s="59">
        <f>V561+V562</f>
        <v>25348.3</v>
      </c>
      <c r="W560" s="59">
        <f t="shared" ref="W560:Y560" si="159">W561+W562</f>
        <v>21770.400000000001</v>
      </c>
      <c r="X560" s="59">
        <f t="shared" si="159"/>
        <v>21770.400000000001</v>
      </c>
      <c r="Y560" s="59">
        <f t="shared" si="159"/>
        <v>21770.400000000001</v>
      </c>
      <c r="Z560" s="59">
        <f>Z561+Z562</f>
        <v>21770.400000000001</v>
      </c>
      <c r="AA560" s="59">
        <f>SUM(T560:Z560)</f>
        <v>162689.99999999997</v>
      </c>
      <c r="AB560" s="58">
        <v>2024</v>
      </c>
      <c r="AC560" s="33"/>
    </row>
    <row r="561" spans="1:31" x14ac:dyDescent="0.25">
      <c r="A561" s="54" t="s">
        <v>18</v>
      </c>
      <c r="B561" s="54" t="s">
        <v>19</v>
      </c>
      <c r="C561" s="54" t="s">
        <v>20</v>
      </c>
      <c r="D561" s="54" t="s">
        <v>18</v>
      </c>
      <c r="E561" s="54" t="s">
        <v>21</v>
      </c>
      <c r="F561" s="54" t="s">
        <v>18</v>
      </c>
      <c r="G561" s="54" t="s">
        <v>22</v>
      </c>
      <c r="H561" s="54" t="s">
        <v>19</v>
      </c>
      <c r="I561" s="54" t="s">
        <v>24</v>
      </c>
      <c r="J561" s="54" t="s">
        <v>18</v>
      </c>
      <c r="K561" s="54" t="s">
        <v>18</v>
      </c>
      <c r="L561" s="54" t="s">
        <v>24</v>
      </c>
      <c r="M561" s="54" t="s">
        <v>43</v>
      </c>
      <c r="N561" s="54" t="s">
        <v>43</v>
      </c>
      <c r="O561" s="54" t="s">
        <v>43</v>
      </c>
      <c r="P561" s="54" t="s">
        <v>43</v>
      </c>
      <c r="Q561" s="54" t="s">
        <v>43</v>
      </c>
      <c r="R561" s="155"/>
      <c r="S561" s="58" t="s">
        <v>0</v>
      </c>
      <c r="T561" s="1">
        <v>25348.3</v>
      </c>
      <c r="U561" s="1">
        <v>24911.8</v>
      </c>
      <c r="V561" s="1">
        <v>0</v>
      </c>
      <c r="W561" s="1">
        <v>0</v>
      </c>
      <c r="X561" s="1">
        <v>0</v>
      </c>
      <c r="Y561" s="1">
        <v>0</v>
      </c>
      <c r="Z561" s="1">
        <v>0</v>
      </c>
      <c r="AA561" s="59">
        <f t="shared" ref="AA561:AA562" si="160">SUM(T561:Z561)</f>
        <v>50260.1</v>
      </c>
      <c r="AB561" s="55">
        <v>2019</v>
      </c>
      <c r="AC561" s="33"/>
    </row>
    <row r="562" spans="1:31" x14ac:dyDescent="0.25">
      <c r="A562" s="54" t="s">
        <v>18</v>
      </c>
      <c r="B562" s="54" t="s">
        <v>19</v>
      </c>
      <c r="C562" s="54" t="s">
        <v>24</v>
      </c>
      <c r="D562" s="54" t="s">
        <v>18</v>
      </c>
      <c r="E562" s="54" t="s">
        <v>21</v>
      </c>
      <c r="F562" s="54" t="s">
        <v>18</v>
      </c>
      <c r="G562" s="54" t="s">
        <v>22</v>
      </c>
      <c r="H562" s="54" t="s">
        <v>19</v>
      </c>
      <c r="I562" s="54" t="s">
        <v>24</v>
      </c>
      <c r="J562" s="54" t="s">
        <v>18</v>
      </c>
      <c r="K562" s="54" t="s">
        <v>18</v>
      </c>
      <c r="L562" s="54" t="s">
        <v>24</v>
      </c>
      <c r="M562" s="54" t="s">
        <v>43</v>
      </c>
      <c r="N562" s="54" t="s">
        <v>43</v>
      </c>
      <c r="O562" s="54" t="s">
        <v>43</v>
      </c>
      <c r="P562" s="54" t="s">
        <v>43</v>
      </c>
      <c r="Q562" s="54" t="s">
        <v>43</v>
      </c>
      <c r="R562" s="156"/>
      <c r="S562" s="58" t="s">
        <v>0</v>
      </c>
      <c r="T562" s="1">
        <v>0</v>
      </c>
      <c r="U562" s="1">
        <v>0</v>
      </c>
      <c r="V562" s="1">
        <v>25348.3</v>
      </c>
      <c r="W562" s="1">
        <v>21770.400000000001</v>
      </c>
      <c r="X562" s="1">
        <v>21770.400000000001</v>
      </c>
      <c r="Y562" s="1">
        <v>21770.400000000001</v>
      </c>
      <c r="Z562" s="1">
        <v>21770.400000000001</v>
      </c>
      <c r="AA562" s="59">
        <f t="shared" si="160"/>
        <v>112429.9</v>
      </c>
      <c r="AB562" s="55">
        <v>2024</v>
      </c>
      <c r="AC562" s="33"/>
    </row>
    <row r="563" spans="1:31" ht="34.15" customHeight="1" x14ac:dyDescent="0.25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80" t="s">
        <v>167</v>
      </c>
      <c r="S563" s="142" t="s">
        <v>52</v>
      </c>
      <c r="T563" s="2">
        <v>2225</v>
      </c>
      <c r="U563" s="44">
        <v>2224</v>
      </c>
      <c r="V563" s="44">
        <v>2224</v>
      </c>
      <c r="W563" s="44">
        <v>2224</v>
      </c>
      <c r="X563" s="44">
        <v>2224</v>
      </c>
      <c r="Y563" s="44">
        <v>2224</v>
      </c>
      <c r="Z563" s="44">
        <v>2224</v>
      </c>
      <c r="AA563" s="45">
        <f>Z563</f>
        <v>2224</v>
      </c>
      <c r="AB563" s="41">
        <v>2024</v>
      </c>
      <c r="AC563" s="33"/>
    </row>
    <row r="564" spans="1:31" ht="31.5" x14ac:dyDescent="0.25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61" t="s">
        <v>168</v>
      </c>
      <c r="S564" s="142" t="s">
        <v>53</v>
      </c>
      <c r="T564" s="2">
        <v>365</v>
      </c>
      <c r="U564" s="2">
        <v>365</v>
      </c>
      <c r="V564" s="44">
        <v>366</v>
      </c>
      <c r="W564" s="2">
        <v>365</v>
      </c>
      <c r="X564" s="2">
        <v>365</v>
      </c>
      <c r="Y564" s="2">
        <v>365</v>
      </c>
      <c r="Z564" s="2">
        <v>366</v>
      </c>
      <c r="AA564" s="45">
        <f>T564+U564+V564+W564+X564+Y564+Z564</f>
        <v>2557</v>
      </c>
      <c r="AB564" s="41">
        <v>2024</v>
      </c>
      <c r="AC564" s="33"/>
    </row>
    <row r="565" spans="1:31" ht="32.25" customHeight="1" x14ac:dyDescent="0.2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61" t="s">
        <v>169</v>
      </c>
      <c r="S565" s="142" t="s">
        <v>38</v>
      </c>
      <c r="T565" s="2">
        <v>4917</v>
      </c>
      <c r="U565" s="2">
        <v>5400</v>
      </c>
      <c r="V565" s="2">
        <v>4794</v>
      </c>
      <c r="W565" s="2">
        <v>4878</v>
      </c>
      <c r="X565" s="2">
        <v>4878</v>
      </c>
      <c r="Y565" s="2">
        <v>5400</v>
      </c>
      <c r="Z565" s="2">
        <v>5400</v>
      </c>
      <c r="AA565" s="45">
        <f t="shared" ref="AA565:AA567" si="161">T565+U565+V565+W565+X565+Y565+Z565</f>
        <v>35667</v>
      </c>
      <c r="AB565" s="41">
        <v>2024</v>
      </c>
      <c r="AC565" s="123"/>
      <c r="AD565" s="102"/>
    </row>
    <row r="566" spans="1:31" ht="47.25" x14ac:dyDescent="0.25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61" t="s">
        <v>170</v>
      </c>
      <c r="S566" s="142" t="s">
        <v>38</v>
      </c>
      <c r="T566" s="2">
        <v>4598</v>
      </c>
      <c r="U566" s="44">
        <v>4558</v>
      </c>
      <c r="V566" s="2">
        <v>4594</v>
      </c>
      <c r="W566" s="2">
        <v>4558</v>
      </c>
      <c r="X566" s="2">
        <v>4558</v>
      </c>
      <c r="Y566" s="2">
        <v>4558</v>
      </c>
      <c r="Z566" s="2">
        <v>4558</v>
      </c>
      <c r="AA566" s="45">
        <f t="shared" si="161"/>
        <v>31982</v>
      </c>
      <c r="AB566" s="41">
        <v>2024</v>
      </c>
      <c r="AC566" s="123"/>
      <c r="AD566" s="102"/>
    </row>
    <row r="567" spans="1:31" ht="47.25" x14ac:dyDescent="0.25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61" t="s">
        <v>171</v>
      </c>
      <c r="S567" s="142" t="s">
        <v>38</v>
      </c>
      <c r="T567" s="2">
        <v>488</v>
      </c>
      <c r="U567" s="2">
        <v>550</v>
      </c>
      <c r="V567" s="2">
        <v>516</v>
      </c>
      <c r="W567" s="2">
        <v>490</v>
      </c>
      <c r="X567" s="2">
        <v>490</v>
      </c>
      <c r="Y567" s="2">
        <v>550</v>
      </c>
      <c r="Z567" s="2">
        <v>550</v>
      </c>
      <c r="AA567" s="45">
        <f t="shared" si="161"/>
        <v>3634</v>
      </c>
      <c r="AB567" s="41">
        <v>2024</v>
      </c>
      <c r="AC567" s="123"/>
      <c r="AD567" s="102"/>
    </row>
    <row r="568" spans="1:31" ht="39.6" hidden="1" customHeight="1" x14ac:dyDescent="0.25">
      <c r="A568" s="54" t="s">
        <v>18</v>
      </c>
      <c r="B568" s="54" t="s">
        <v>19</v>
      </c>
      <c r="C568" s="54" t="s">
        <v>20</v>
      </c>
      <c r="D568" s="54" t="s">
        <v>18</v>
      </c>
      <c r="E568" s="54" t="s">
        <v>21</v>
      </c>
      <c r="F568" s="54" t="s">
        <v>18</v>
      </c>
      <c r="G568" s="54" t="s">
        <v>22</v>
      </c>
      <c r="H568" s="54" t="s">
        <v>19</v>
      </c>
      <c r="I568" s="54" t="s">
        <v>24</v>
      </c>
      <c r="J568" s="54" t="s">
        <v>18</v>
      </c>
      <c r="K568" s="54" t="s">
        <v>18</v>
      </c>
      <c r="L568" s="54" t="s">
        <v>24</v>
      </c>
      <c r="M568" s="54" t="s">
        <v>18</v>
      </c>
      <c r="N568" s="54" t="s">
        <v>18</v>
      </c>
      <c r="O568" s="54" t="s">
        <v>18</v>
      </c>
      <c r="P568" s="54" t="s">
        <v>18</v>
      </c>
      <c r="Q568" s="54" t="s">
        <v>19</v>
      </c>
      <c r="R568" s="141" t="s">
        <v>172</v>
      </c>
      <c r="S568" s="58" t="s">
        <v>0</v>
      </c>
      <c r="T568" s="59">
        <v>0</v>
      </c>
      <c r="U568" s="59">
        <f>4000-4000</f>
        <v>0</v>
      </c>
      <c r="V568" s="59">
        <v>0</v>
      </c>
      <c r="W568" s="59">
        <v>0</v>
      </c>
      <c r="X568" s="59">
        <v>0</v>
      </c>
      <c r="Y568" s="59">
        <v>0</v>
      </c>
      <c r="Z568" s="59">
        <v>0</v>
      </c>
      <c r="AA568" s="59">
        <f>T568+U568+V568+W568+X568+Y568</f>
        <v>0</v>
      </c>
      <c r="AB568" s="58"/>
      <c r="AC568" s="33"/>
      <c r="AD568" s="102"/>
    </row>
    <row r="569" spans="1:31" ht="33.6" hidden="1" customHeight="1" x14ac:dyDescent="0.25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40" t="s">
        <v>284</v>
      </c>
      <c r="S569" s="41" t="s">
        <v>38</v>
      </c>
      <c r="T569" s="44">
        <v>0</v>
      </c>
      <c r="U569" s="44">
        <v>0</v>
      </c>
      <c r="V569" s="44">
        <v>0</v>
      </c>
      <c r="W569" s="44">
        <v>0</v>
      </c>
      <c r="X569" s="44">
        <v>0</v>
      </c>
      <c r="Y569" s="44">
        <v>0</v>
      </c>
      <c r="Z569" s="44">
        <v>0</v>
      </c>
      <c r="AA569" s="49">
        <v>0</v>
      </c>
      <c r="AB569" s="41"/>
      <c r="AC569" s="33"/>
      <c r="AD569" s="104"/>
      <c r="AE569" s="104"/>
    </row>
    <row r="570" spans="1:31" ht="31.5" hidden="1" x14ac:dyDescent="0.25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40" t="s">
        <v>80</v>
      </c>
      <c r="S570" s="95" t="s">
        <v>9</v>
      </c>
      <c r="T570" s="44">
        <v>0</v>
      </c>
      <c r="U570" s="44">
        <v>0</v>
      </c>
      <c r="V570" s="44">
        <v>0</v>
      </c>
      <c r="W570" s="44">
        <v>0</v>
      </c>
      <c r="X570" s="44">
        <v>0</v>
      </c>
      <c r="Y570" s="44">
        <v>0</v>
      </c>
      <c r="Z570" s="44">
        <v>0</v>
      </c>
      <c r="AA570" s="49">
        <v>0</v>
      </c>
      <c r="AB570" s="41"/>
      <c r="AC570" s="33"/>
    </row>
    <row r="571" spans="1:31" ht="36" customHeight="1" x14ac:dyDescent="0.25">
      <c r="A571" s="54" t="s">
        <v>18</v>
      </c>
      <c r="B571" s="54" t="s">
        <v>19</v>
      </c>
      <c r="C571" s="54" t="s">
        <v>20</v>
      </c>
      <c r="D571" s="54" t="s">
        <v>18</v>
      </c>
      <c r="E571" s="54" t="s">
        <v>21</v>
      </c>
      <c r="F571" s="54" t="s">
        <v>18</v>
      </c>
      <c r="G571" s="54" t="s">
        <v>22</v>
      </c>
      <c r="H571" s="54" t="s">
        <v>19</v>
      </c>
      <c r="I571" s="54" t="s">
        <v>24</v>
      </c>
      <c r="J571" s="54" t="s">
        <v>18</v>
      </c>
      <c r="K571" s="54" t="s">
        <v>18</v>
      </c>
      <c r="L571" s="54" t="s">
        <v>24</v>
      </c>
      <c r="M571" s="54" t="s">
        <v>43</v>
      </c>
      <c r="N571" s="54" t="s">
        <v>43</v>
      </c>
      <c r="O571" s="54" t="s">
        <v>43</v>
      </c>
      <c r="P571" s="54" t="s">
        <v>43</v>
      </c>
      <c r="Q571" s="54" t="s">
        <v>43</v>
      </c>
      <c r="R571" s="141" t="s">
        <v>342</v>
      </c>
      <c r="S571" s="58" t="s">
        <v>0</v>
      </c>
      <c r="T571" s="59">
        <v>0</v>
      </c>
      <c r="U571" s="59">
        <f>10680+0.8</f>
        <v>10680.8</v>
      </c>
      <c r="V571" s="59">
        <v>0</v>
      </c>
      <c r="W571" s="59">
        <v>0</v>
      </c>
      <c r="X571" s="59">
        <v>0</v>
      </c>
      <c r="Y571" s="59">
        <v>0</v>
      </c>
      <c r="Z571" s="59">
        <v>0</v>
      </c>
      <c r="AA571" s="59">
        <f>T571+U571+V571+W571+X571+Y571</f>
        <v>10680.8</v>
      </c>
      <c r="AB571" s="58">
        <v>2019</v>
      </c>
      <c r="AC571" s="33"/>
      <c r="AD571" s="102"/>
    </row>
    <row r="572" spans="1:31" ht="31.5" x14ac:dyDescent="0.25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40" t="s">
        <v>285</v>
      </c>
      <c r="S572" s="41" t="s">
        <v>38</v>
      </c>
      <c r="T572" s="44">
        <v>0</v>
      </c>
      <c r="U572" s="44">
        <v>7300</v>
      </c>
      <c r="V572" s="44">
        <v>0</v>
      </c>
      <c r="W572" s="44">
        <v>0</v>
      </c>
      <c r="X572" s="44">
        <v>0</v>
      </c>
      <c r="Y572" s="44">
        <v>0</v>
      </c>
      <c r="Z572" s="44">
        <v>0</v>
      </c>
      <c r="AA572" s="49">
        <f>U572</f>
        <v>7300</v>
      </c>
      <c r="AB572" s="41">
        <v>2019</v>
      </c>
      <c r="AC572" s="33"/>
      <c r="AD572" s="104"/>
      <c r="AE572" s="104"/>
    </row>
    <row r="573" spans="1:31" x14ac:dyDescent="0.25">
      <c r="AB573" s="144" t="s">
        <v>58</v>
      </c>
    </row>
    <row r="574" spans="1:31" ht="31.15" customHeight="1" x14ac:dyDescent="0.25"/>
    <row r="575" spans="1:31" ht="40.15" customHeight="1" x14ac:dyDescent="0.25">
      <c r="A575" s="152" t="s">
        <v>363</v>
      </c>
      <c r="B575" s="152"/>
      <c r="C575" s="152"/>
      <c r="D575" s="152"/>
      <c r="E575" s="152"/>
      <c r="F575" s="152"/>
      <c r="G575" s="152"/>
      <c r="H575" s="152"/>
      <c r="I575" s="152"/>
      <c r="J575" s="152"/>
      <c r="K575" s="152"/>
      <c r="L575" s="152"/>
      <c r="M575" s="152"/>
      <c r="N575" s="152"/>
      <c r="O575" s="152"/>
      <c r="P575" s="152"/>
      <c r="Q575" s="152"/>
      <c r="R575" s="152"/>
      <c r="S575" s="152"/>
      <c r="T575" s="152"/>
      <c r="U575" s="152"/>
      <c r="V575" s="152"/>
      <c r="W575" s="152"/>
      <c r="X575" s="152"/>
      <c r="Y575" s="152"/>
      <c r="Z575" s="152"/>
      <c r="AA575" s="152"/>
      <c r="AB575" s="152"/>
    </row>
  </sheetData>
  <mergeCells count="77">
    <mergeCell ref="A1:AB1"/>
    <mergeCell ref="A4:AB4"/>
    <mergeCell ref="A5:AB5"/>
    <mergeCell ref="A6:AB6"/>
    <mergeCell ref="A3:AB3"/>
    <mergeCell ref="X7:AB7"/>
    <mergeCell ref="A8:AB8"/>
    <mergeCell ref="A9:AB9"/>
    <mergeCell ref="A10:AB10"/>
    <mergeCell ref="A12:Q12"/>
    <mergeCell ref="R12:R13"/>
    <mergeCell ref="S12:S13"/>
    <mergeCell ref="AA12:AB12"/>
    <mergeCell ref="A13:C13"/>
    <mergeCell ref="D13:E13"/>
    <mergeCell ref="F13:G13"/>
    <mergeCell ref="H13:Q13"/>
    <mergeCell ref="T12:Z12"/>
    <mergeCell ref="R39:R43"/>
    <mergeCell ref="R49:R52"/>
    <mergeCell ref="R176:R178"/>
    <mergeCell ref="R183:R186"/>
    <mergeCell ref="R190:R193"/>
    <mergeCell ref="R70:R75"/>
    <mergeCell ref="R77:R80"/>
    <mergeCell ref="R133:R138"/>
    <mergeCell ref="R197:R200"/>
    <mergeCell ref="R204:R207"/>
    <mergeCell ref="R211:R214"/>
    <mergeCell ref="R222:R227"/>
    <mergeCell ref="R231:R234"/>
    <mergeCell ref="R236:R239"/>
    <mergeCell ref="R241:R245"/>
    <mergeCell ref="R247:R251"/>
    <mergeCell ref="R253:R257"/>
    <mergeCell ref="R260:R264"/>
    <mergeCell ref="R275:R279"/>
    <mergeCell ref="R281:R284"/>
    <mergeCell ref="R286:R289"/>
    <mergeCell ref="R291:R294"/>
    <mergeCell ref="R266:R272"/>
    <mergeCell ref="R296:R299"/>
    <mergeCell ref="R301:R304"/>
    <mergeCell ref="R316:R320"/>
    <mergeCell ref="R322:R327"/>
    <mergeCell ref="R306:R313"/>
    <mergeCell ref="R329:R334"/>
    <mergeCell ref="R336:R341"/>
    <mergeCell ref="R343:R348"/>
    <mergeCell ref="R350:R355"/>
    <mergeCell ref="R436:R439"/>
    <mergeCell ref="R357:R362"/>
    <mergeCell ref="R364:R369"/>
    <mergeCell ref="R371:R376"/>
    <mergeCell ref="R378:R382"/>
    <mergeCell ref="R384:R388"/>
    <mergeCell ref="R390:R395"/>
    <mergeCell ref="R406:R410"/>
    <mergeCell ref="R412:R416"/>
    <mergeCell ref="R418:R422"/>
    <mergeCell ref="R424:R428"/>
    <mergeCell ref="R397:R402"/>
    <mergeCell ref="R430:R434"/>
    <mergeCell ref="R518:R519"/>
    <mergeCell ref="R521:R522"/>
    <mergeCell ref="A575:AB575"/>
    <mergeCell ref="R524:R525"/>
    <mergeCell ref="R527:R528"/>
    <mergeCell ref="R530:R531"/>
    <mergeCell ref="R441:R445"/>
    <mergeCell ref="R447:R451"/>
    <mergeCell ref="R453:R457"/>
    <mergeCell ref="R459:R463"/>
    <mergeCell ref="R465:R469"/>
    <mergeCell ref="R535:R537"/>
    <mergeCell ref="R560:R562"/>
    <mergeCell ref="R489:R491"/>
  </mergeCells>
  <pageMargins left="0.35433070866141736" right="0.31496062992125984" top="0.59055118110236227" bottom="0.59055118110236227" header="0" footer="0"/>
  <pageSetup paperSize="9" scale="65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2021-03-22T14:16:43Z</dcterms:modified>
</cp:coreProperties>
</file>